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hilippe\Documents\Ph. MARIANI\Résidence BOIS JOLI 2\Rénovation Energétique BJ2\Société ENERGIE &amp; SERVICE\Configurateurs et Simulateur\"/>
    </mc:Choice>
  </mc:AlternateContent>
  <xr:revisionPtr revIDLastSave="0" documentId="13_ncr:1_{F873C0CA-14C8-45F1-901B-EDD77AE21130}" xr6:coauthVersionLast="47" xr6:coauthVersionMax="47" xr10:uidLastSave="{00000000-0000-0000-0000-000000000000}"/>
  <workbookProtection workbookAlgorithmName="SHA-512" workbookHashValue="pqDvD2O1j3hT1ZGDIPfPwX247gKgKLMJucoqM3eTxMYFq85CkFMQ8EvXZ1oBSfm1/jyL14Yygf10/v2j57zKGQ==" workbookSaltValue="8INuYxSJnO1y/SeWWbRWjg==" workbookSpinCount="100000" lockStructure="1"/>
  <bookViews>
    <workbookView xWindow="-120" yWindow="-120" windowWidth="20730" windowHeight="11160" tabRatio="731" xr2:uid="{7A008F1B-333D-4D99-A21D-94E01CBC9480}"/>
  </bookViews>
  <sheets>
    <sheet name="Préambule" sheetId="9" r:id="rId1"/>
    <sheet name="Ravalement simple" sheetId="2" r:id="rId2"/>
    <sheet name="ITE + Tout Enduit" sheetId="6" r:id="rId3"/>
    <sheet name="ITE + Mixte Enduit - Bardage" sheetId="5" r:id="rId4"/>
    <sheet name="ITE + Tout Bardage" sheetId="7" r:id="rId5"/>
  </sheets>
  <definedNames>
    <definedName name="_A2943" localSheetId="0">#REF!</definedName>
    <definedName name="_A2943">#REF!</definedName>
    <definedName name="_a893" localSheetId="0">#REF!</definedName>
    <definedName name="_a893">#REF!</definedName>
    <definedName name="ADRESSE_IMM" localSheetId="0">#REF!</definedName>
    <definedName name="ADRESSE_IMM">#REF!</definedName>
    <definedName name="C._AFF" localSheetId="0">#REF!</definedName>
    <definedName name="C._AFF">#REF!</definedName>
    <definedName name="C._CLIENT" localSheetId="0">#REF!</definedName>
    <definedName name="C._CLIENT">#REF!</definedName>
    <definedName name="CCOMPOSITION" localSheetId="0">#REF!</definedName>
    <definedName name="CCOMPOSITION">#REF!</definedName>
    <definedName name="CDEFINITION" localSheetId="0">#REF!</definedName>
    <definedName name="CDEFINITION">#REF!</definedName>
    <definedName name="CEXE" localSheetId="0">#REF!</definedName>
    <definedName name="CEXE">#REF!</definedName>
    <definedName name="CLELOT" localSheetId="0">#REF!</definedName>
    <definedName name="CLELOT">#REF!</definedName>
    <definedName name="CLOT" localSheetId="0">#REF!</definedName>
    <definedName name="CLOT">#REF!</definedName>
    <definedName name="CMARCHE" localSheetId="0">#REF!</definedName>
    <definedName name="CMARCHE">#REF!</definedName>
    <definedName name="CODE_CLIENT" localSheetId="0">#REF!</definedName>
    <definedName name="CODE_CLIENT">#REF!</definedName>
    <definedName name="CODE_IMM" localSheetId="0">#REF!</definedName>
    <definedName name="CODE_IMM">#REF!</definedName>
    <definedName name="CODE_POSTAL" localSheetId="0">#REF!</definedName>
    <definedName name="CODE_POSTAL">#REF!</definedName>
    <definedName name="COPT" localSheetId="0">#REF!</definedName>
    <definedName name="COPT">#REF!</definedName>
    <definedName name="CPROJET" localSheetId="0">#REF!</definedName>
    <definedName name="CPROJET">#REF!</definedName>
    <definedName name="CPUNIT" localSheetId="0">#REF!</definedName>
    <definedName name="CPUNIT">#REF!</definedName>
    <definedName name="CQUANT" localSheetId="0">#REF!</definedName>
    <definedName name="CQUANT">#REF!</definedName>
    <definedName name="_xlnm.Criteria" localSheetId="0">#REF!</definedName>
    <definedName name="_xlnm.Criteria">#REF!</definedName>
    <definedName name="CSITUATION" localSheetId="0">#REF!</definedName>
    <definedName name="CSITUATION">#REF!</definedName>
    <definedName name="CU" localSheetId="0">#REF!</definedName>
    <definedName name="CU">#REF!</definedName>
    <definedName name="date_envoi_AO" localSheetId="0">#REF!</definedName>
    <definedName name="date_envoi_AO">#REF!</definedName>
    <definedName name="date_fin_AO" localSheetId="0">#REF!</definedName>
    <definedName name="date_fin_AO">#REF!</definedName>
    <definedName name="DEB" localSheetId="0">#REF!</definedName>
    <definedName name="DEB">#REF!</definedName>
    <definedName name="_xlnm.Extract" localSheetId="0">#REF!</definedName>
    <definedName name="_xlnm.Extract">#REF!</definedName>
    <definedName name="FIN" localSheetId="0">#REF!</definedName>
    <definedName name="FIN">#REF!</definedName>
    <definedName name="MMARCHE" localSheetId="0">#REF!</definedName>
    <definedName name="MMARCHE">#REF!</definedName>
    <definedName name="MPROJET" localSheetId="0">#REF!</definedName>
    <definedName name="MPROJET">#REF!</definedName>
    <definedName name="MSITUATION" localSheetId="0">#REF!</definedName>
    <definedName name="MSITUATION">#REF!</definedName>
    <definedName name="N._AFF" localSheetId="0">#REF!</definedName>
    <definedName name="N._AFF">#REF!</definedName>
    <definedName name="NOMPROV" localSheetId="0">#REF!</definedName>
    <definedName name="NOMPROV">#REF!</definedName>
    <definedName name="NUM_CL" localSheetId="0">#REF!</definedName>
    <definedName name="NUM_CL">#REF!</definedName>
    <definedName name="OBJETAFFAIRE" localSheetId="0">#REF!</definedName>
    <definedName name="OBJETAFFAIRE">#REF!</definedName>
    <definedName name="PDG" localSheetId="0">#REF!</definedName>
    <definedName name="PDG">#REF!</definedName>
    <definedName name="reglages" localSheetId="0">#REF!,#REF!,#REF!,#REF!,#REF!,#REF!,#REF!,#REF!,#REF!,#REF!,#REF!,#REF!,#REF!,#REF!,#REF!,#REF!,#REF!,#REF!</definedName>
    <definedName name="reglages">#REF!,#REF!,#REF!,#REF!,#REF!,#REF!,#REF!,#REF!,#REF!,#REF!,#REF!,#REF!,#REF!,#REF!,#REF!,#REF!,#REF!,#REF!</definedName>
    <definedName name="RESPDOS" localSheetId="0">#REF!</definedName>
    <definedName name="RESPDOS">#REF!</definedName>
    <definedName name="TITRE" localSheetId="0">#REF!</definedName>
    <definedName name="TITRE">#REF!</definedName>
    <definedName name="VILLE" localSheetId="0">#REF!</definedName>
    <definedName name="VILLE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46" i="2" l="1"/>
  <c r="G46" i="2"/>
  <c r="H46" i="2" s="1"/>
  <c r="M46" i="2" s="1"/>
  <c r="E46" i="2"/>
  <c r="O45" i="2"/>
  <c r="E45" i="2"/>
  <c r="G45" i="2" s="1"/>
  <c r="H45" i="2" s="1"/>
  <c r="M45" i="2" s="1"/>
  <c r="O42" i="2"/>
  <c r="G42" i="2"/>
  <c r="H42" i="2" s="1"/>
  <c r="M42" i="2" s="1"/>
  <c r="E46" i="7"/>
  <c r="E45" i="7"/>
  <c r="E44" i="7"/>
  <c r="E43" i="7"/>
  <c r="E42" i="7"/>
  <c r="E41" i="7"/>
  <c r="E46" i="5"/>
  <c r="E45" i="5"/>
  <c r="E44" i="5"/>
  <c r="E43" i="5"/>
  <c r="E42" i="5"/>
  <c r="E41" i="5"/>
  <c r="E46" i="6"/>
  <c r="E45" i="6"/>
  <c r="E44" i="6"/>
  <c r="E43" i="6"/>
  <c r="E42" i="6"/>
  <c r="E41" i="6"/>
  <c r="O46" i="7"/>
  <c r="O45" i="7"/>
  <c r="O44" i="7"/>
  <c r="O43" i="7"/>
  <c r="O42" i="7"/>
  <c r="O41" i="7"/>
  <c r="O34" i="7"/>
  <c r="O33" i="7"/>
  <c r="O26" i="7"/>
  <c r="O18" i="7"/>
  <c r="O11" i="7"/>
  <c r="O10" i="7"/>
  <c r="O9" i="7"/>
  <c r="M11" i="7"/>
  <c r="M10" i="7"/>
  <c r="M9" i="7"/>
  <c r="M8" i="7"/>
  <c r="J25" i="7"/>
  <c r="K25" i="7" s="1"/>
  <c r="O25" i="7" s="1"/>
  <c r="J24" i="7"/>
  <c r="K24" i="7" s="1"/>
  <c r="K9" i="7"/>
  <c r="J9" i="7"/>
  <c r="K8" i="7"/>
  <c r="K12" i="7" s="1"/>
  <c r="O12" i="7" s="1"/>
  <c r="J8" i="7"/>
  <c r="J12" i="7" s="1"/>
  <c r="J31" i="7" s="1"/>
  <c r="K31" i="7" s="1"/>
  <c r="O31" i="7" s="1"/>
  <c r="O46" i="5"/>
  <c r="O45" i="5"/>
  <c r="O44" i="5"/>
  <c r="O43" i="5"/>
  <c r="O42" i="5"/>
  <c r="O41" i="5"/>
  <c r="O34" i="5"/>
  <c r="O33" i="5"/>
  <c r="O26" i="5"/>
  <c r="O18" i="5"/>
  <c r="O11" i="5"/>
  <c r="O10" i="5"/>
  <c r="O9" i="5"/>
  <c r="M11" i="5"/>
  <c r="M10" i="5"/>
  <c r="M9" i="5"/>
  <c r="M8" i="5"/>
  <c r="J25" i="5"/>
  <c r="K25" i="5" s="1"/>
  <c r="O25" i="5" s="1"/>
  <c r="J24" i="5"/>
  <c r="K24" i="5" s="1"/>
  <c r="K9" i="5"/>
  <c r="J9" i="5"/>
  <c r="K8" i="5"/>
  <c r="K12" i="5" s="1"/>
  <c r="O12" i="5" s="1"/>
  <c r="J8" i="5"/>
  <c r="J12" i="5" s="1"/>
  <c r="J31" i="5" s="1"/>
  <c r="K31" i="5" s="1"/>
  <c r="O31" i="5" s="1"/>
  <c r="O46" i="6"/>
  <c r="O45" i="6"/>
  <c r="O44" i="6"/>
  <c r="O43" i="6"/>
  <c r="O42" i="6"/>
  <c r="O41" i="6"/>
  <c r="O34" i="6"/>
  <c r="O33" i="6"/>
  <c r="O26" i="6"/>
  <c r="O18" i="6"/>
  <c r="O11" i="6"/>
  <c r="O10" i="6"/>
  <c r="O9" i="6"/>
  <c r="M11" i="6"/>
  <c r="M10" i="6"/>
  <c r="M9" i="6"/>
  <c r="M8" i="6"/>
  <c r="J25" i="6"/>
  <c r="K25" i="6" s="1"/>
  <c r="O25" i="6" s="1"/>
  <c r="J24" i="6"/>
  <c r="K24" i="6" s="1"/>
  <c r="K9" i="6"/>
  <c r="J9" i="6"/>
  <c r="K8" i="6"/>
  <c r="K12" i="6" s="1"/>
  <c r="O12" i="6" s="1"/>
  <c r="J8" i="6"/>
  <c r="J12" i="6" s="1"/>
  <c r="O34" i="2"/>
  <c r="O33" i="2"/>
  <c r="O26" i="2"/>
  <c r="O18" i="2"/>
  <c r="O11" i="2"/>
  <c r="O10" i="2"/>
  <c r="O9" i="2"/>
  <c r="O8" i="2"/>
  <c r="M11" i="2"/>
  <c r="M10" i="2"/>
  <c r="M9" i="2"/>
  <c r="M8" i="2"/>
  <c r="J25" i="2"/>
  <c r="K25" i="2" s="1"/>
  <c r="O25" i="2" s="1"/>
  <c r="J24" i="2"/>
  <c r="K24" i="2" s="1"/>
  <c r="K9" i="2"/>
  <c r="K12" i="2" s="1"/>
  <c r="O12" i="2" s="1"/>
  <c r="J9" i="2"/>
  <c r="J12" i="2" s="1"/>
  <c r="M49" i="6"/>
  <c r="M49" i="5"/>
  <c r="M49" i="7"/>
  <c r="M49" i="2"/>
  <c r="G46" i="7"/>
  <c r="H46" i="7" s="1"/>
  <c r="M46" i="7" s="1"/>
  <c r="G45" i="7"/>
  <c r="H45" i="7" s="1"/>
  <c r="M45" i="7" s="1"/>
  <c r="G44" i="7"/>
  <c r="H44" i="7" s="1"/>
  <c r="M44" i="7" s="1"/>
  <c r="G43" i="7"/>
  <c r="H43" i="7" s="1"/>
  <c r="M43" i="7" s="1"/>
  <c r="G42" i="7"/>
  <c r="H42" i="7" s="1"/>
  <c r="M42" i="7" s="1"/>
  <c r="G41" i="7"/>
  <c r="H41" i="7" s="1"/>
  <c r="M41" i="7" s="1"/>
  <c r="H34" i="7"/>
  <c r="M34" i="7" s="1"/>
  <c r="H33" i="7"/>
  <c r="M33" i="7" s="1"/>
  <c r="M26" i="7"/>
  <c r="H25" i="7"/>
  <c r="M25" i="7" s="1"/>
  <c r="G25" i="7"/>
  <c r="H18" i="7"/>
  <c r="M18" i="7" s="1"/>
  <c r="G18" i="7"/>
  <c r="H12" i="7"/>
  <c r="M12" i="7" s="1"/>
  <c r="G12" i="7"/>
  <c r="G46" i="6"/>
  <c r="H46" i="6" s="1"/>
  <c r="M46" i="6" s="1"/>
  <c r="G45" i="6"/>
  <c r="H45" i="6" s="1"/>
  <c r="M45" i="6" s="1"/>
  <c r="G44" i="6"/>
  <c r="H44" i="6" s="1"/>
  <c r="M44" i="6" s="1"/>
  <c r="G43" i="6"/>
  <c r="H43" i="6" s="1"/>
  <c r="M43" i="6" s="1"/>
  <c r="G42" i="6"/>
  <c r="H42" i="6" s="1"/>
  <c r="M42" i="6" s="1"/>
  <c r="G41" i="6"/>
  <c r="H41" i="6" s="1"/>
  <c r="M41" i="6" s="1"/>
  <c r="H34" i="6"/>
  <c r="M34" i="6" s="1"/>
  <c r="H33" i="6"/>
  <c r="M33" i="6" s="1"/>
  <c r="M26" i="6"/>
  <c r="H25" i="6"/>
  <c r="M25" i="6" s="1"/>
  <c r="G25" i="6"/>
  <c r="H18" i="6"/>
  <c r="M18" i="6" s="1"/>
  <c r="G18" i="6"/>
  <c r="H12" i="6"/>
  <c r="M12" i="6" s="1"/>
  <c r="G12" i="6"/>
  <c r="G46" i="5"/>
  <c r="H46" i="5" s="1"/>
  <c r="M46" i="5" s="1"/>
  <c r="G45" i="5"/>
  <c r="H45" i="5" s="1"/>
  <c r="M45" i="5" s="1"/>
  <c r="G44" i="5"/>
  <c r="H44" i="5" s="1"/>
  <c r="M44" i="5" s="1"/>
  <c r="G43" i="5"/>
  <c r="H43" i="5" s="1"/>
  <c r="M43" i="5" s="1"/>
  <c r="G42" i="5"/>
  <c r="H42" i="5" s="1"/>
  <c r="M42" i="5" s="1"/>
  <c r="G41" i="5"/>
  <c r="H41" i="5" s="1"/>
  <c r="M41" i="5" s="1"/>
  <c r="H34" i="5"/>
  <c r="M34" i="5" s="1"/>
  <c r="H33" i="5"/>
  <c r="M33" i="5" s="1"/>
  <c r="M26" i="5"/>
  <c r="H25" i="5"/>
  <c r="M25" i="5" s="1"/>
  <c r="G25" i="5"/>
  <c r="H18" i="5"/>
  <c r="M18" i="5" s="1"/>
  <c r="G18" i="5"/>
  <c r="H12" i="5"/>
  <c r="G12" i="5"/>
  <c r="M26" i="2"/>
  <c r="G18" i="2"/>
  <c r="H18" i="2"/>
  <c r="M18" i="2" s="1"/>
  <c r="J31" i="6" l="1"/>
  <c r="K31" i="6" s="1"/>
  <c r="O31" i="6" s="1"/>
  <c r="O14" i="2"/>
  <c r="M14" i="7"/>
  <c r="O8" i="7"/>
  <c r="O14" i="7" s="1"/>
  <c r="K35" i="7"/>
  <c r="O35" i="7" s="1"/>
  <c r="K32" i="7"/>
  <c r="O32" i="7" s="1"/>
  <c r="H32" i="5"/>
  <c r="M32" i="5" s="1"/>
  <c r="M14" i="5"/>
  <c r="M12" i="5"/>
  <c r="O8" i="5"/>
  <c r="O14" i="5" s="1"/>
  <c r="K35" i="5"/>
  <c r="O35" i="5" s="1"/>
  <c r="K32" i="5"/>
  <c r="O32" i="5" s="1"/>
  <c r="M14" i="6"/>
  <c r="O8" i="6"/>
  <c r="O14" i="6" s="1"/>
  <c r="K35" i="6"/>
  <c r="O35" i="6" s="1"/>
  <c r="K32" i="6"/>
  <c r="O32" i="6" s="1"/>
  <c r="O51" i="6" s="1"/>
  <c r="H32" i="6"/>
  <c r="M32" i="6" s="1"/>
  <c r="J31" i="2"/>
  <c r="K31" i="2" s="1"/>
  <c r="O31" i="2" s="1"/>
  <c r="M14" i="2"/>
  <c r="K35" i="2"/>
  <c r="O35" i="2" s="1"/>
  <c r="K32" i="2"/>
  <c r="O32" i="2" s="1"/>
  <c r="G31" i="7"/>
  <c r="H31" i="7" s="1"/>
  <c r="M31" i="7" s="1"/>
  <c r="H32" i="7"/>
  <c r="M32" i="7" s="1"/>
  <c r="G31" i="6"/>
  <c r="H31" i="6" s="1"/>
  <c r="M31" i="6" s="1"/>
  <c r="G31" i="5"/>
  <c r="H31" i="5" s="1"/>
  <c r="M31" i="5" s="1"/>
  <c r="H35" i="7"/>
  <c r="M35" i="7" s="1"/>
  <c r="H35" i="6"/>
  <c r="M35" i="6" s="1"/>
  <c r="H35" i="5"/>
  <c r="M35" i="5" s="1"/>
  <c r="H25" i="2"/>
  <c r="M25" i="2" s="1"/>
  <c r="G25" i="2"/>
  <c r="O51" i="2" l="1"/>
  <c r="O51" i="7"/>
  <c r="O51" i="5"/>
  <c r="M51" i="6"/>
  <c r="M53" i="6" s="1"/>
  <c r="M51" i="5"/>
  <c r="M53" i="5" s="1"/>
  <c r="M51" i="7"/>
  <c r="M53" i="7" s="1"/>
  <c r="H34" i="2"/>
  <c r="M34" i="2" s="1"/>
  <c r="H33" i="2"/>
  <c r="M33" i="2" s="1"/>
  <c r="G12" i="2"/>
  <c r="G31" i="2" s="1"/>
  <c r="H31" i="2" s="1"/>
  <c r="M31" i="2" s="1"/>
  <c r="H12" i="2" l="1"/>
  <c r="M12" i="2" s="1"/>
  <c r="H35" i="2" l="1"/>
  <c r="M35" i="2" s="1"/>
  <c r="H32" i="2"/>
  <c r="M32" i="2" s="1"/>
  <c r="M51" i="2" l="1"/>
  <c r="M53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Philippe</author>
  </authors>
  <commentList>
    <comment ref="G4" authorId="0" shapeId="0" xr:uid="{B0E197B9-32E7-4954-B36F-7053C3421DC8}">
      <text>
        <r>
          <rPr>
            <b/>
            <sz val="9"/>
            <color indexed="81"/>
            <rFont val="Tahoma"/>
            <family val="2"/>
          </rPr>
          <t>renseigner le nombre de tantièmes correspondant aux lots dont vous êtes propriétaire</t>
        </r>
      </text>
    </comment>
    <comment ref="E15" authorId="0" shapeId="0" xr:uid="{E42992AE-FBC9-48B5-BD2D-1CD56748EEDB}">
      <text>
        <r>
          <rPr>
            <b/>
            <sz val="10"/>
            <color indexed="81"/>
            <rFont val="Tahoma"/>
            <family val="2"/>
          </rPr>
          <t xml:space="preserve">renseigner :
 1 - si vous êtes POUR
 </t>
        </r>
      </text>
    </comment>
    <comment ref="E21" authorId="0" shapeId="0" xr:uid="{DBE73FA0-F4E2-4985-BBCB-0BFB42DF9716}">
      <text>
        <r>
          <rPr>
            <b/>
            <sz val="10"/>
            <color indexed="81"/>
            <rFont val="Tahoma"/>
            <family val="2"/>
          </rPr>
          <t xml:space="preserve">renseigner :
 1 - si vous êtes POUR
 </t>
        </r>
      </text>
    </comment>
    <comment ref="F40" authorId="0" shapeId="0" xr:uid="{71E2CE38-B8FA-41FD-B143-6837B1BCE70D}">
      <text>
        <r>
          <rPr>
            <b/>
            <sz val="9"/>
            <color indexed="81"/>
            <rFont val="Tahoma"/>
            <family val="2"/>
          </rPr>
          <t xml:space="preserve">précisez les quantités souhaitées en fonction de vos choix
</t>
        </r>
        <r>
          <rPr>
            <b/>
            <sz val="9"/>
            <color indexed="81"/>
            <rFont val="Tahoma"/>
            <family val="2"/>
          </rPr>
          <t>"</t>
        </r>
        <r>
          <rPr>
            <b/>
            <u/>
            <sz val="9"/>
            <color indexed="81"/>
            <rFont val="Tahoma"/>
            <family val="2"/>
          </rPr>
          <t>Mise en peinture</t>
        </r>
        <r>
          <rPr>
            <b/>
            <sz val="9"/>
            <color indexed="81"/>
            <rFont val="Tahoma"/>
            <family val="2"/>
          </rPr>
          <t>" ou "</t>
        </r>
        <r>
          <rPr>
            <b/>
            <u/>
            <sz val="9"/>
            <color indexed="81"/>
            <rFont val="Tahoma"/>
            <family val="2"/>
          </rPr>
          <t>remplacement</t>
        </r>
        <r>
          <rPr>
            <b/>
            <sz val="9"/>
            <color indexed="81"/>
            <rFont val="Tahoma"/>
            <family val="2"/>
          </rPr>
          <t>" pour les portes de garage</t>
        </r>
        <r>
          <rPr>
            <sz val="9"/>
            <color indexed="81"/>
            <rFont val="Tahoma"/>
            <family val="2"/>
          </rPr>
          <t xml:space="preserve">
 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Philippe</author>
  </authors>
  <commentList>
    <comment ref="G4" authorId="0" shapeId="0" xr:uid="{FBCA9E86-77E2-4CD8-B471-12A618BCF40E}">
      <text>
        <r>
          <rPr>
            <b/>
            <sz val="9"/>
            <color indexed="81"/>
            <rFont val="Tahoma"/>
            <family val="2"/>
          </rPr>
          <t>renseigner le nombre de tantièmes correspondant aux lots dont vous êtes propriétaire</t>
        </r>
      </text>
    </comment>
    <comment ref="E15" authorId="0" shapeId="0" xr:uid="{35B7C715-85DD-49D5-A500-3B2C9B8810FE}">
      <text>
        <r>
          <rPr>
            <b/>
            <sz val="10"/>
            <color indexed="81"/>
            <rFont val="Tahoma"/>
            <family val="2"/>
          </rPr>
          <t xml:space="preserve">renseigner :
 1 - si vous êtes POUR
 </t>
        </r>
      </text>
    </comment>
    <comment ref="E21" authorId="0" shapeId="0" xr:uid="{3AE37667-0E29-47B0-9A97-011D0B0458E8}">
      <text>
        <r>
          <rPr>
            <b/>
            <sz val="10"/>
            <color indexed="81"/>
            <rFont val="Tahoma"/>
            <family val="2"/>
          </rPr>
          <t xml:space="preserve">renseigner :
 1 - si vous êtes POUR
 </t>
        </r>
      </text>
    </comment>
    <comment ref="F40" authorId="0" shapeId="0" xr:uid="{4D9C55A6-D192-4C0D-9AB4-EB70F40DAF63}">
      <text>
        <r>
          <rPr>
            <b/>
            <sz val="9"/>
            <color indexed="81"/>
            <rFont val="Tahoma"/>
            <family val="2"/>
          </rPr>
          <t>précisez les quantités souhaitées en fonction de vos choix
"</t>
        </r>
        <r>
          <rPr>
            <b/>
            <u/>
            <sz val="9"/>
            <color indexed="81"/>
            <rFont val="Tahoma"/>
            <family val="2"/>
          </rPr>
          <t>Alu</t>
        </r>
        <r>
          <rPr>
            <b/>
            <sz val="9"/>
            <color indexed="81"/>
            <rFont val="Tahoma"/>
            <family val="2"/>
          </rPr>
          <t>" ou "</t>
        </r>
        <r>
          <rPr>
            <b/>
            <u/>
            <sz val="9"/>
            <color indexed="81"/>
            <rFont val="Tahoma"/>
            <family val="2"/>
          </rPr>
          <t>PVC</t>
        </r>
        <r>
          <rPr>
            <b/>
            <sz val="9"/>
            <color indexed="81"/>
            <rFont val="Tahoma"/>
            <family val="2"/>
          </rPr>
          <t>" pour les occultants
"</t>
        </r>
        <r>
          <rPr>
            <b/>
            <u/>
            <sz val="9"/>
            <color indexed="81"/>
            <rFont val="Tahoma"/>
            <family val="2"/>
          </rPr>
          <t>Mise en peinture</t>
        </r>
        <r>
          <rPr>
            <b/>
            <sz val="9"/>
            <color indexed="81"/>
            <rFont val="Tahoma"/>
            <family val="2"/>
          </rPr>
          <t>" ou "</t>
        </r>
        <r>
          <rPr>
            <b/>
            <u/>
            <sz val="9"/>
            <color indexed="81"/>
            <rFont val="Tahoma"/>
            <family val="2"/>
          </rPr>
          <t>remplacement</t>
        </r>
        <r>
          <rPr>
            <b/>
            <sz val="9"/>
            <color indexed="81"/>
            <rFont val="Tahoma"/>
            <family val="2"/>
          </rPr>
          <t>" pour les portes de garage</t>
        </r>
        <r>
          <rPr>
            <sz val="9"/>
            <color indexed="81"/>
            <rFont val="Tahoma"/>
            <family val="2"/>
          </rPr>
          <t xml:space="preserve">
 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Philippe</author>
  </authors>
  <commentList>
    <comment ref="G4" authorId="0" shapeId="0" xr:uid="{E6712AEF-065D-4D1F-A90B-2A8FF9903DEB}">
      <text>
        <r>
          <rPr>
            <b/>
            <sz val="9"/>
            <color indexed="81"/>
            <rFont val="Tahoma"/>
            <family val="2"/>
          </rPr>
          <t>renseigner le nombre de tantièmes correspondant aux lots dont vous êtes propriétaire</t>
        </r>
      </text>
    </comment>
    <comment ref="E15" authorId="0" shapeId="0" xr:uid="{5F4A4E8A-6D1D-4462-9D34-1E924BBC462A}">
      <text>
        <r>
          <rPr>
            <b/>
            <sz val="10"/>
            <color indexed="81"/>
            <rFont val="Tahoma"/>
            <family val="2"/>
          </rPr>
          <t xml:space="preserve">renseigner :
 1 - si vous êtes POUR
 </t>
        </r>
      </text>
    </comment>
    <comment ref="E21" authorId="0" shapeId="0" xr:uid="{D2FE9702-9D18-4C36-B622-A05F074CC7E2}">
      <text>
        <r>
          <rPr>
            <b/>
            <sz val="10"/>
            <color indexed="81"/>
            <rFont val="Tahoma"/>
            <family val="2"/>
          </rPr>
          <t xml:space="preserve">renseigner :
 1 - si vous êtes POUR
 </t>
        </r>
      </text>
    </comment>
    <comment ref="F40" authorId="0" shapeId="0" xr:uid="{2535FC96-2192-47F1-9A49-B57EAA41C394}">
      <text>
        <r>
          <rPr>
            <b/>
            <sz val="9"/>
            <color indexed="81"/>
            <rFont val="Tahoma"/>
            <family val="2"/>
          </rPr>
          <t>précisez les quantités souhaitées en fonction de vos choix
"</t>
        </r>
        <r>
          <rPr>
            <b/>
            <u/>
            <sz val="9"/>
            <color indexed="81"/>
            <rFont val="Tahoma"/>
            <family val="2"/>
          </rPr>
          <t>Alu</t>
        </r>
        <r>
          <rPr>
            <b/>
            <sz val="9"/>
            <color indexed="81"/>
            <rFont val="Tahoma"/>
            <family val="2"/>
          </rPr>
          <t>" ou "</t>
        </r>
        <r>
          <rPr>
            <b/>
            <u/>
            <sz val="9"/>
            <color indexed="81"/>
            <rFont val="Tahoma"/>
            <family val="2"/>
          </rPr>
          <t>PVC</t>
        </r>
        <r>
          <rPr>
            <b/>
            <sz val="9"/>
            <color indexed="81"/>
            <rFont val="Tahoma"/>
            <family val="2"/>
          </rPr>
          <t>" pour les occultants
"</t>
        </r>
        <r>
          <rPr>
            <b/>
            <u/>
            <sz val="9"/>
            <color indexed="81"/>
            <rFont val="Tahoma"/>
            <family val="2"/>
          </rPr>
          <t>Mise en peinture</t>
        </r>
        <r>
          <rPr>
            <b/>
            <sz val="9"/>
            <color indexed="81"/>
            <rFont val="Tahoma"/>
            <family val="2"/>
          </rPr>
          <t>" ou "</t>
        </r>
        <r>
          <rPr>
            <b/>
            <u/>
            <sz val="9"/>
            <color indexed="81"/>
            <rFont val="Tahoma"/>
            <family val="2"/>
          </rPr>
          <t>remplacement</t>
        </r>
        <r>
          <rPr>
            <b/>
            <sz val="9"/>
            <color indexed="81"/>
            <rFont val="Tahoma"/>
            <family val="2"/>
          </rPr>
          <t>" pour les portes de garage</t>
        </r>
        <r>
          <rPr>
            <sz val="9"/>
            <color indexed="81"/>
            <rFont val="Tahoma"/>
            <family val="2"/>
          </rPr>
          <t xml:space="preserve">
 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Philippe</author>
  </authors>
  <commentList>
    <comment ref="G4" authorId="0" shapeId="0" xr:uid="{24505477-B0EA-422F-A3A2-1DA76747197A}">
      <text>
        <r>
          <rPr>
            <b/>
            <sz val="9"/>
            <color indexed="81"/>
            <rFont val="Tahoma"/>
            <family val="2"/>
          </rPr>
          <t>renseigner le nombre de tantièmes correspondant aux lots dont vous êtes propriétaire</t>
        </r>
      </text>
    </comment>
    <comment ref="E15" authorId="0" shapeId="0" xr:uid="{FEDE4A8B-8070-408C-BABF-C6F16DDBD992}">
      <text>
        <r>
          <rPr>
            <b/>
            <sz val="10"/>
            <color indexed="81"/>
            <rFont val="Tahoma"/>
            <family val="2"/>
          </rPr>
          <t xml:space="preserve">renseigner :
 1 - si vous êtes POUR
 </t>
        </r>
      </text>
    </comment>
    <comment ref="E21" authorId="0" shapeId="0" xr:uid="{C2DDD4F1-9BDC-4146-B182-F25188D9F953}">
      <text>
        <r>
          <rPr>
            <b/>
            <sz val="10"/>
            <color indexed="81"/>
            <rFont val="Tahoma"/>
            <family val="2"/>
          </rPr>
          <t xml:space="preserve">renseigner :
 1 - si vous êtes POUR
 </t>
        </r>
      </text>
    </comment>
    <comment ref="F40" authorId="0" shapeId="0" xr:uid="{FB3F8E97-DC05-4A96-8805-6B8739FF2348}">
      <text>
        <r>
          <rPr>
            <b/>
            <sz val="9"/>
            <color indexed="81"/>
            <rFont val="Tahoma"/>
            <family val="2"/>
          </rPr>
          <t>précisez les quantités souhaitées en fonction de vos choix
"</t>
        </r>
        <r>
          <rPr>
            <b/>
            <u/>
            <sz val="9"/>
            <color indexed="81"/>
            <rFont val="Tahoma"/>
            <family val="2"/>
          </rPr>
          <t>Alu</t>
        </r>
        <r>
          <rPr>
            <b/>
            <sz val="9"/>
            <color indexed="81"/>
            <rFont val="Tahoma"/>
            <family val="2"/>
          </rPr>
          <t>" ou "</t>
        </r>
        <r>
          <rPr>
            <b/>
            <u/>
            <sz val="9"/>
            <color indexed="81"/>
            <rFont val="Tahoma"/>
            <family val="2"/>
          </rPr>
          <t>PVC</t>
        </r>
        <r>
          <rPr>
            <b/>
            <sz val="9"/>
            <color indexed="81"/>
            <rFont val="Tahoma"/>
            <family val="2"/>
          </rPr>
          <t>" pour les occultants
"</t>
        </r>
        <r>
          <rPr>
            <b/>
            <u/>
            <sz val="9"/>
            <color indexed="81"/>
            <rFont val="Tahoma"/>
            <family val="2"/>
          </rPr>
          <t>Mise en peinture</t>
        </r>
        <r>
          <rPr>
            <b/>
            <sz val="9"/>
            <color indexed="81"/>
            <rFont val="Tahoma"/>
            <family val="2"/>
          </rPr>
          <t>" ou "</t>
        </r>
        <r>
          <rPr>
            <b/>
            <u/>
            <sz val="9"/>
            <color indexed="81"/>
            <rFont val="Tahoma"/>
            <family val="2"/>
          </rPr>
          <t>remplacement</t>
        </r>
        <r>
          <rPr>
            <b/>
            <sz val="9"/>
            <color indexed="81"/>
            <rFont val="Tahoma"/>
            <family val="2"/>
          </rPr>
          <t>" pour les portes de garage</t>
        </r>
        <r>
          <rPr>
            <sz val="9"/>
            <color indexed="81"/>
            <rFont val="Tahoma"/>
            <family val="2"/>
          </rPr>
          <t xml:space="preserve">
 </t>
        </r>
      </text>
    </comment>
  </commentList>
</comments>
</file>

<file path=xl/sharedStrings.xml><?xml version="1.0" encoding="utf-8"?>
<sst xmlns="http://schemas.openxmlformats.org/spreadsheetml/2006/main" count="463" uniqueCount="128">
  <si>
    <t>Lot 2 - Menuiseries</t>
  </si>
  <si>
    <t>Lot 1 - Façades</t>
  </si>
  <si>
    <t>Montant HT</t>
  </si>
  <si>
    <t>LPN</t>
  </si>
  <si>
    <t>GDR</t>
  </si>
  <si>
    <t>NOVEBAT</t>
  </si>
  <si>
    <t>Lot 4 - VMC</t>
  </si>
  <si>
    <t>GEM</t>
  </si>
  <si>
    <t>Honoraires syndic</t>
  </si>
  <si>
    <t>FONCIA</t>
  </si>
  <si>
    <t>Honoraires MOE</t>
  </si>
  <si>
    <t>OPTIWALL</t>
  </si>
  <si>
    <t>Coordinateur sécurité</t>
  </si>
  <si>
    <t>SOCOTEC</t>
  </si>
  <si>
    <t>Bureau de contrôle</t>
  </si>
  <si>
    <t>Dommage ouvrage</t>
  </si>
  <si>
    <t>Lot 3 - Etanchéité balcons au-dessus des garages</t>
  </si>
  <si>
    <t>Entreprises</t>
  </si>
  <si>
    <t>Lot 3 - Etanchéité des terrasses gravillonnées</t>
  </si>
  <si>
    <t>Entreprise</t>
  </si>
  <si>
    <t>Vote BJ2 dans son ensemble</t>
  </si>
  <si>
    <t>Lot 1 - Création de ruban LED en sous face des couvertines</t>
  </si>
  <si>
    <t>A.1 - Travaux de base</t>
  </si>
  <si>
    <t>A.2 - Variantes et options collectives</t>
  </si>
  <si>
    <t>Décision de BJ2 dans son ensemble</t>
  </si>
  <si>
    <t>Décision par bâtiment</t>
  </si>
  <si>
    <t>P.U. TTC</t>
  </si>
  <si>
    <r>
      <t xml:space="preserve">Lot 2 - Volet Roulant Electrique Variante </t>
    </r>
    <r>
      <rPr>
        <b/>
        <sz val="11"/>
        <color theme="1"/>
        <rFont val="TAHOMA"/>
        <family val="2"/>
      </rPr>
      <t>Alu</t>
    </r>
    <r>
      <rPr>
        <sz val="11"/>
        <color theme="1"/>
        <rFont val="Tahoma"/>
        <family val="2"/>
      </rPr>
      <t xml:space="preserve"> - L : 1,20 - H : 1,80</t>
    </r>
  </si>
  <si>
    <r>
      <t xml:space="preserve">Lot 2 - Volet Roulant Electrique Variante </t>
    </r>
    <r>
      <rPr>
        <b/>
        <sz val="11"/>
        <color theme="1"/>
        <rFont val="TAHOMA"/>
        <family val="2"/>
      </rPr>
      <t>Alu</t>
    </r>
    <r>
      <rPr>
        <sz val="11"/>
        <color theme="1"/>
        <rFont val="Tahoma"/>
        <family val="2"/>
      </rPr>
      <t xml:space="preserve"> - L : 1,50 - H : 1,80</t>
    </r>
  </si>
  <si>
    <r>
      <t xml:space="preserve">Lot 2 - Volet Roulant Electrique Variante </t>
    </r>
    <r>
      <rPr>
        <b/>
        <sz val="11"/>
        <color theme="1"/>
        <rFont val="TAHOMA"/>
        <family val="2"/>
      </rPr>
      <t>PVC</t>
    </r>
    <r>
      <rPr>
        <sz val="11"/>
        <color theme="1"/>
        <rFont val="Tahoma"/>
        <family val="2"/>
      </rPr>
      <t xml:space="preserve"> - L : 1,20 - H : 1,80</t>
    </r>
  </si>
  <si>
    <r>
      <t xml:space="preserve">Lot 2 - Volet Roulant Electrique Variante </t>
    </r>
    <r>
      <rPr>
        <b/>
        <sz val="11"/>
        <color theme="1"/>
        <rFont val="TAHOMA"/>
        <family val="2"/>
      </rPr>
      <t>PVC</t>
    </r>
    <r>
      <rPr>
        <sz val="11"/>
        <color theme="1"/>
        <rFont val="Tahoma"/>
        <family val="2"/>
      </rPr>
      <t xml:space="preserve"> - L : 1,50 - H : 1,80</t>
    </r>
  </si>
  <si>
    <t>Lot 2 - Porte de garage - mise en peinture</t>
  </si>
  <si>
    <t>Lot 2 - Porte de garage - remplacement</t>
  </si>
  <si>
    <t>Quantité</t>
  </si>
  <si>
    <t>Intervenants</t>
  </si>
  <si>
    <t>Pourcentage</t>
  </si>
  <si>
    <t>Montant TTC</t>
  </si>
  <si>
    <t>Lot 2 - Porte de Hall d'entrée en Bois/Alu</t>
  </si>
  <si>
    <t>A.3 - Travaux complémentaires</t>
  </si>
  <si>
    <t>Tantièmes BJ2</t>
  </si>
  <si>
    <t>Honoraires &amp; assurance D.O.</t>
  </si>
  <si>
    <t>Variantes et options individuelles</t>
  </si>
  <si>
    <t>Quote-part Copropriétaire</t>
  </si>
  <si>
    <t>Total Travaux de base dans la configuration d'un ravalement simple</t>
  </si>
  <si>
    <t>Organisme à désigner</t>
  </si>
  <si>
    <t>Vote</t>
  </si>
  <si>
    <t>Scénario 1 : Ravalement simple</t>
  </si>
  <si>
    <t>Scénario 4 : ITE + Tout Bardage</t>
  </si>
  <si>
    <t>Tantièmes Logement</t>
  </si>
  <si>
    <t>Scénario 2 : ITE + Tout Enduit</t>
  </si>
  <si>
    <t>Scénario 3 : ITE + Mixte Enduit / Bardage</t>
  </si>
  <si>
    <t>Comme vous le savez probablement, votre conseil syndical a initié une réflexion en fin d'année 2020 sur la nécessité impérieuse</t>
  </si>
  <si>
    <t>d'entreprendre la rénovation de notre copropriété.</t>
  </si>
  <si>
    <t>des signes inquiétants de détérioration.</t>
  </si>
  <si>
    <t>Comme vous aurez certainement pu le constater par vous-même, le revêtement des façades de nos bâtiments montrent  aujourd'hui</t>
  </si>
  <si>
    <t>Scénario 1 - Ravalement simple :</t>
  </si>
  <si>
    <t>Scénario 2 - ITE + Tout Enduit :</t>
  </si>
  <si>
    <t xml:space="preserve">Cette opération consiste dans la réalisation d'une Isolation Thermique par l'Extérieur recouverte d'un enduit organique sur </t>
  </si>
  <si>
    <t>Scénario 3 - ITE + Mixte Enduit / Bardage :</t>
  </si>
  <si>
    <t xml:space="preserve">Cette opération consiste dans la réalisation d'une Isolation Thermique par l'Extérieur recouverte, pour partie, d'un enduit </t>
  </si>
  <si>
    <t>Scénario 4 - ITE + Tout Bardage :</t>
  </si>
  <si>
    <t>Cette opération consiste dans la réalisation d'une Isolation Thermique par l'Extérieur recouverte dans son intégralité par un</t>
  </si>
  <si>
    <t xml:space="preserve">- les travaux d'étanchéité des balcons privatifs situés au-dessus des garages pour éviter d'éventuelles fuites qui risqueraient </t>
  </si>
  <si>
    <t>d'altérer prématurément le nouveau ravalement.</t>
  </si>
  <si>
    <t xml:space="preserve">- le remplacement  des menuiseries extérieures à savoir les ouvrants des R+1 et R+2 ainsi que les chassis vitrés des lanterneaux </t>
  </si>
  <si>
    <t>assurant l'éclairage naturel des couloirs des RdC via les toitures terrasses.</t>
  </si>
  <si>
    <t>- le remplacement du système de VMC actuel par un dispositif de VMC hygroréglable plus économique</t>
  </si>
  <si>
    <t xml:space="preserve">- les travaux identifiés sous l'item "A.1 - Travaux de base" et "A.2 - Variantes et options collectives" seront soumis au vote de </t>
  </si>
  <si>
    <t>l'ensemble de la copropriété</t>
  </si>
  <si>
    <t>- les travaux identifiés sous l'item "A.3 - Travaux complémentaires" seront soumis au vote par bâtiment</t>
  </si>
  <si>
    <t>- En fin de tableau, chaque copropriétaire aura la possibilité d'identifier les "variantes et options individuelles" qui viendront</t>
  </si>
  <si>
    <t>compléter les travaux réalisés sur les communs. Le coût desdits travaux seront intégralement supportés par les copropriétaires</t>
  </si>
  <si>
    <t>intéressés.</t>
  </si>
  <si>
    <t>- seules les cellules</t>
  </si>
  <si>
    <t>sont à renseigner. Les autres cellules des tableaux sont protégées pour éviter d'éventuelles</t>
  </si>
  <si>
    <t>erreurs de manipulation.</t>
  </si>
  <si>
    <t>Estimation E &amp; S</t>
  </si>
  <si>
    <t>Prime CEE Copropriété par bâtiment à déduire au prorata des tantièmes</t>
  </si>
  <si>
    <t>Aides potentielles mises en place par l'Etat</t>
  </si>
  <si>
    <t>Rappel du contexte</t>
  </si>
  <si>
    <t>Configurateurs et simulateur</t>
  </si>
  <si>
    <t>Afin de vous permettre de mieux appréhender l'impact financier qu'auront ces travaux de rénovation sur vos budgets personnels votre</t>
  </si>
  <si>
    <t>conseil syndical a développé des outils avec lesquels vous pourrez :</t>
  </si>
  <si>
    <t xml:space="preserve">1°- </t>
  </si>
  <si>
    <t xml:space="preserve">2°- </t>
  </si>
  <si>
    <t>Estimer au mieux la quôte-part des travaux que vous devrez financer à titre individuel dans l'un ou l'autre des 4 scénarii proposés</t>
  </si>
  <si>
    <t>une fois que vous aurez renseigné les configurateurs correspondants.</t>
  </si>
  <si>
    <t>Vos quôtes-parts se reporteront automatiquement dans le simulateur. Si vous souhaitez financer partiellement votre quôte-part</t>
  </si>
  <si>
    <t>via l'adhésion au prêt collectif, il vous suffira de renseigner dans la cellule dédiée le montant de l'emprunt envisagé.</t>
  </si>
  <si>
    <t>A vous de jouer !!!</t>
  </si>
  <si>
    <t>Dans ces 4 scénarii sont inclus :</t>
  </si>
  <si>
    <t>Pour chacun des scénarii :</t>
  </si>
  <si>
    <t>soirée de présentation.</t>
  </si>
  <si>
    <t xml:space="preserve">Lors de l'A.G. du 31 mai 2022, nous avons délégué à la société ENERGIE ET SERVICE, via son entité spécialisée OPTIWALL, la Maîtrise </t>
  </si>
  <si>
    <t>la performance énergétique de nos bâtiments.</t>
  </si>
  <si>
    <t>Au-delà de l'aspect esthétique qui contribue incontestablement à la valorisation de notre lieu de vie, la fonction première d'un ravalement</t>
  </si>
  <si>
    <t>est de garantir la protection des bâtis et par conséquent la solidité des ouvrages. Pour rappel, le dernier ravalement de BJ2 a été réalisé .</t>
  </si>
  <si>
    <t>en 1992, cela fait donc 32 ans.</t>
  </si>
  <si>
    <t xml:space="preserve">d'Œuvre de ce projet dans la continuité de la mission que nous lui avions confiée en 2021 dont la finalité était de réaliser le diagnostic de </t>
  </si>
  <si>
    <t xml:space="preserve">Cette étude a débouché sur l'élaboration de 4 scénarii dont les contenus techniques vous ont été dévoilés par OPTIWALL lors de cette </t>
  </si>
  <si>
    <t>Cette opération consiste dans la réalisation d'un ravalement à l'identique de celui existant. Les façades seront mises à nue,</t>
  </si>
  <si>
    <t>les reprises de béton nécessaires seront effectuées avant un nouvel entoilage des structures pour prévenir l'apparition de</t>
  </si>
  <si>
    <t>potentielles fissures puis la pose d'un enduit organique sur l'ensemble des surfaces.</t>
  </si>
  <si>
    <t>organique sur les surfaces identifiées et pour le reste des façades d'un bardage minéral en pierre reconstituée.</t>
  </si>
  <si>
    <t>l'ensemble des surfaces.</t>
  </si>
  <si>
    <t>Tantièmes Bâtiment 10</t>
  </si>
  <si>
    <t>Quote-part Bâtiment 10</t>
  </si>
  <si>
    <t>Travaux éligibles à l'Eco PTZ collectif</t>
  </si>
  <si>
    <t xml:space="preserve">Contrôle </t>
  </si>
  <si>
    <t>Frais annexes éligibles à l'Eco PTZ collectif</t>
  </si>
  <si>
    <t>QP Copropriétaire
éligible à l'Eco PTZ</t>
  </si>
  <si>
    <t>Quote-part après déduction part finançable avec le PTZ</t>
  </si>
  <si>
    <t xml:space="preserve">Calculer, grâce au simulateur, le montant de vos mensualités si vous décidez d'adhérer aux prêts collectifs souscrits par le syndicat </t>
  </si>
  <si>
    <t>des copropriétaires auprès de la CAISSE D'EPARGNE d'Ile-de-France.</t>
  </si>
  <si>
    <t>Dans ce scénario, les volets coulissants actuels seront déposés avant le ravalement. A l'issue, des volets coulissants neufs seront</t>
  </si>
  <si>
    <t>réinstallés pour permettre à la résidence de conserver sa ligne architecturale d'origine, toutes modifications n'étant pas justifiées.</t>
  </si>
  <si>
    <t xml:space="preserve">En conséquence, il est impératif de préciser dans le simulateur le nombre de volets que compte votre logement. </t>
  </si>
  <si>
    <t xml:space="preserve">coulissants nécessiterait le percement de l'isolant. Cette opération générerait l'apparition de ponts thermiques ne permettant plus d'atteindre </t>
  </si>
  <si>
    <t>l'amélioration des performances énergétiques des bâtiments attendue et nous priverait de ce fait de la possibilité de bénéficier de l'Eco PTZ.</t>
  </si>
  <si>
    <t>Ce motif sera mis en avant lors du dépôt de permis de construire auprès du service de l'urbanisme pour justifier de la préconisation technique</t>
  </si>
  <si>
    <t>proposée par le Maître d'Oeuvre.</t>
  </si>
  <si>
    <t>pas installer ces occultants n'aura pas d'impact significatif sur l'aspect visuel des façades.</t>
  </si>
  <si>
    <r>
      <t xml:space="preserve">Dans les </t>
    </r>
    <r>
      <rPr>
        <b/>
        <sz val="11"/>
        <color rgb="FFFF0000"/>
        <rFont val="Tahoma"/>
        <family val="2"/>
      </rPr>
      <t>scénarii 2, 3 et 4</t>
    </r>
    <r>
      <rPr>
        <sz val="11"/>
        <color theme="1"/>
        <rFont val="Tahoma"/>
        <family val="2"/>
      </rPr>
      <t xml:space="preserve">, les occultants préconisés sont des </t>
    </r>
    <r>
      <rPr>
        <b/>
        <sz val="11"/>
        <color rgb="FFFF0000"/>
        <rFont val="Tahoma"/>
        <family val="2"/>
      </rPr>
      <t>volets roulants électriques</t>
    </r>
    <r>
      <rPr>
        <sz val="11"/>
        <color theme="1"/>
        <rFont val="Tahoma"/>
        <family val="2"/>
      </rPr>
      <t>, en PVC ou en aluminium car la pose de volets</t>
    </r>
  </si>
  <si>
    <r>
      <t xml:space="preserve">Pour autant, la pose de volets roulants reste une </t>
    </r>
    <r>
      <rPr>
        <b/>
        <sz val="11"/>
        <color rgb="FFFF0000"/>
        <rFont val="Tahoma"/>
        <family val="2"/>
      </rPr>
      <t>option</t>
    </r>
    <r>
      <rPr>
        <sz val="11"/>
        <color theme="1"/>
        <rFont val="Tahoma"/>
        <family val="2"/>
      </rPr>
      <t xml:space="preserve"> laissée à l'appréciation de chaque copropriétaire puisque le choix d'installer ou de ne  </t>
    </r>
  </si>
  <si>
    <t>Obligations et options individuelles</t>
  </si>
  <si>
    <r>
      <t xml:space="preserve">Obligations </t>
    </r>
    <r>
      <rPr>
        <b/>
        <sz val="11"/>
        <color rgb="FFFF0000"/>
        <rFont val="Tahoma"/>
        <family val="2"/>
      </rPr>
      <t>(Cf préambule - Scénario 1 - Ravalement simple)</t>
    </r>
  </si>
  <si>
    <t>Lot 1 - F &amp; P de volets Coulissants à l'identique de ceux d'origine</t>
  </si>
  <si>
    <t>Options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</si>
</sst>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#,##0.00\ &quot;€&quot;;[Red]\-#,##0.00\ &quot;€&quot;"/>
    <numFmt numFmtId="164" formatCode="#,##0.00\ &quot;€&quot;"/>
    <numFmt numFmtId="165" formatCode="#,##0_ ;[Red]\-#,##0\ 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Tahoma"/>
      <family val="2"/>
    </font>
    <font>
      <sz val="10"/>
      <name val="Arial"/>
      <family val="2"/>
    </font>
    <font>
      <sz val="11"/>
      <name val="tahoma"/>
      <family val="2"/>
    </font>
    <font>
      <sz val="10"/>
      <color theme="1"/>
      <name val="Tahoma"/>
      <family val="2"/>
    </font>
    <font>
      <b/>
      <sz val="11"/>
      <color theme="1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color indexed="81"/>
      <name val="Tahoma"/>
      <family val="2"/>
    </font>
    <font>
      <b/>
      <u/>
      <sz val="9"/>
      <color indexed="81"/>
      <name val="Tahoma"/>
      <family val="2"/>
    </font>
    <font>
      <b/>
      <sz val="16"/>
      <color theme="0"/>
      <name val="Tahoma"/>
      <family val="2"/>
    </font>
    <font>
      <b/>
      <sz val="16"/>
      <color theme="7" tint="-0.249977111117893"/>
      <name val="Tahoma"/>
      <family val="2"/>
    </font>
    <font>
      <b/>
      <sz val="11"/>
      <color theme="1" tint="0.34998626667073579"/>
      <name val="TAHOMA"/>
      <family val="2"/>
    </font>
    <font>
      <b/>
      <sz val="11"/>
      <name val="TAHOMA"/>
      <family val="2"/>
    </font>
    <font>
      <i/>
      <sz val="11"/>
      <name val="tahoma"/>
      <family val="2"/>
    </font>
    <font>
      <b/>
      <sz val="14"/>
      <name val="TAHOMA"/>
      <family val="2"/>
    </font>
    <font>
      <b/>
      <sz val="20"/>
      <color theme="1"/>
      <name val="Tahoma"/>
      <family val="2"/>
    </font>
    <font>
      <sz val="11"/>
      <color theme="0"/>
      <name val="TAHOMA"/>
      <family val="2"/>
    </font>
    <font>
      <b/>
      <sz val="14"/>
      <color theme="0"/>
      <name val="Tahoma"/>
      <family val="2"/>
    </font>
    <font>
      <sz val="14"/>
      <color theme="0"/>
      <name val="Tahoma"/>
      <family val="2"/>
    </font>
    <font>
      <sz val="14"/>
      <color theme="1"/>
      <name val="Tahoma"/>
      <family val="2"/>
    </font>
    <font>
      <b/>
      <sz val="11"/>
      <color rgb="FF002060"/>
      <name val="TAHOMA"/>
      <family val="2"/>
    </font>
    <font>
      <u/>
      <sz val="11"/>
      <color theme="1"/>
      <name val="Tahoma"/>
      <family val="2"/>
    </font>
    <font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TAHOMA"/>
      <family val="2"/>
    </font>
    <font>
      <b/>
      <sz val="11"/>
      <color rgb="FFFF0000"/>
      <name val="Tahoma"/>
      <family val="2"/>
    </font>
  </fonts>
  <fills count="14">
    <fill>
      <patternFill patternType="none"/>
    </fill>
    <fill>
      <patternFill patternType="gray125"/>
    </fill>
    <fill>
      <patternFill patternType="solid">
        <fgColor rgb="FFFF99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rgb="FF002060"/>
      </left>
      <right style="thick">
        <color rgb="FF002060"/>
      </right>
      <top style="thick">
        <color rgb="FF002060"/>
      </top>
      <bottom style="thick">
        <color rgb="FF002060"/>
      </bottom>
      <diagonal/>
    </border>
    <border>
      <left/>
      <right/>
      <top/>
      <bottom style="thick">
        <color rgb="FF002060"/>
      </bottom>
      <diagonal/>
    </border>
  </borders>
  <cellStyleXfs count="2">
    <xf numFmtId="0" fontId="0" fillId="0" borderId="0"/>
    <xf numFmtId="0" fontId="2" fillId="0" borderId="0"/>
  </cellStyleXfs>
  <cellXfs count="100">
    <xf numFmtId="0" fontId="0" fillId="0" borderId="0" xfId="0"/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3" borderId="1" xfId="1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164" fontId="3" fillId="3" borderId="2" xfId="1" applyNumberFormat="1" applyFont="1" applyFill="1" applyBorder="1" applyAlignment="1">
      <alignment horizontal="right" vertical="center" wrapText="1"/>
    </xf>
    <xf numFmtId="164" fontId="3" fillId="3" borderId="3" xfId="1" applyNumberFormat="1" applyFont="1" applyFill="1" applyBorder="1" applyAlignment="1">
      <alignment horizontal="right" vertical="center" wrapText="1"/>
    </xf>
    <xf numFmtId="164" fontId="3" fillId="3" borderId="1" xfId="1" applyNumberFormat="1" applyFont="1" applyFill="1" applyBorder="1" applyAlignment="1">
      <alignment horizontal="right" vertical="center" wrapText="1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164" fontId="1" fillId="5" borderId="1" xfId="0" applyNumberFormat="1" applyFont="1" applyFill="1" applyBorder="1" applyAlignment="1">
      <alignment vertical="center"/>
    </xf>
    <xf numFmtId="164" fontId="4" fillId="5" borderId="1" xfId="0" applyNumberFormat="1" applyFont="1" applyFill="1" applyBorder="1" applyAlignment="1">
      <alignment horizontal="right" vertical="center"/>
    </xf>
    <xf numFmtId="0" fontId="1" fillId="2" borderId="3" xfId="0" applyFont="1" applyFill="1" applyBorder="1" applyAlignment="1">
      <alignment horizontal="center" vertical="center" wrapText="1"/>
    </xf>
    <xf numFmtId="10" fontId="1" fillId="3" borderId="1" xfId="0" applyNumberFormat="1" applyFont="1" applyFill="1" applyBorder="1" applyAlignment="1">
      <alignment horizontal="center" vertical="center"/>
    </xf>
    <xf numFmtId="164" fontId="5" fillId="3" borderId="1" xfId="0" applyNumberFormat="1" applyFont="1" applyFill="1" applyBorder="1" applyAlignment="1">
      <alignment horizontal="right" vertical="center"/>
    </xf>
    <xf numFmtId="164" fontId="1" fillId="3" borderId="1" xfId="0" applyNumberFormat="1" applyFont="1" applyFill="1" applyBorder="1" applyAlignment="1">
      <alignment horizontal="right" vertical="center"/>
    </xf>
    <xf numFmtId="164" fontId="1" fillId="5" borderId="1" xfId="0" applyNumberFormat="1" applyFont="1" applyFill="1" applyBorder="1" applyAlignment="1">
      <alignment horizontal="right" vertical="center"/>
    </xf>
    <xf numFmtId="0" fontId="1" fillId="3" borderId="7" xfId="0" applyFont="1" applyFill="1" applyBorder="1" applyAlignment="1">
      <alignment vertical="center"/>
    </xf>
    <xf numFmtId="0" fontId="1" fillId="3" borderId="3" xfId="0" applyFont="1" applyFill="1" applyBorder="1" applyAlignment="1">
      <alignment vertical="center"/>
    </xf>
    <xf numFmtId="0" fontId="1" fillId="6" borderId="1" xfId="0" applyFont="1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/>
    </xf>
    <xf numFmtId="0" fontId="10" fillId="9" borderId="0" xfId="0" applyFont="1" applyFill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4" borderId="1" xfId="0" applyFont="1" applyFill="1" applyBorder="1" applyAlignment="1">
      <alignment vertical="center"/>
    </xf>
    <xf numFmtId="0" fontId="3" fillId="3" borderId="5" xfId="1" applyFont="1" applyFill="1" applyBorder="1" applyAlignment="1">
      <alignment horizontal="left" vertical="center" wrapText="1"/>
    </xf>
    <xf numFmtId="0" fontId="3" fillId="3" borderId="6" xfId="1" applyFont="1" applyFill="1" applyBorder="1" applyAlignment="1">
      <alignment horizontal="left" vertical="center" wrapText="1"/>
    </xf>
    <xf numFmtId="164" fontId="14" fillId="3" borderId="1" xfId="1" applyNumberFormat="1" applyFont="1" applyFill="1" applyBorder="1" applyAlignment="1">
      <alignment horizontal="right" vertical="center" wrapText="1"/>
    </xf>
    <xf numFmtId="164" fontId="5" fillId="5" borderId="1" xfId="0" applyNumberFormat="1" applyFont="1" applyFill="1" applyBorder="1" applyAlignment="1">
      <alignment horizontal="right" vertical="center"/>
    </xf>
    <xf numFmtId="165" fontId="1" fillId="3" borderId="1" xfId="0" applyNumberFormat="1" applyFont="1" applyFill="1" applyBorder="1" applyAlignment="1">
      <alignment vertical="center"/>
    </xf>
    <xf numFmtId="0" fontId="1" fillId="0" borderId="0" xfId="0" applyFont="1" applyAlignment="1">
      <alignment vertical="center"/>
    </xf>
    <xf numFmtId="164" fontId="15" fillId="8" borderId="1" xfId="0" applyNumberFormat="1" applyFont="1" applyFill="1" applyBorder="1" applyAlignment="1">
      <alignment horizontal="right" vertical="center" wrapText="1"/>
    </xf>
    <xf numFmtId="165" fontId="1" fillId="3" borderId="2" xfId="0" applyNumberFormat="1" applyFont="1" applyFill="1" applyBorder="1" applyAlignment="1">
      <alignment vertical="center"/>
    </xf>
    <xf numFmtId="165" fontId="1" fillId="0" borderId="12" xfId="0" applyNumberFormat="1" applyFont="1" applyBorder="1" applyAlignment="1" applyProtection="1">
      <alignment vertical="center"/>
      <protection locked="0"/>
    </xf>
    <xf numFmtId="0" fontId="0" fillId="0" borderId="7" xfId="0" applyBorder="1" applyAlignment="1">
      <alignment vertical="center"/>
    </xf>
    <xf numFmtId="0" fontId="0" fillId="0" borderId="12" xfId="0" applyBorder="1" applyAlignment="1" applyProtection="1">
      <alignment horizontal="center" vertical="center"/>
      <protection locked="0"/>
    </xf>
    <xf numFmtId="164" fontId="3" fillId="3" borderId="7" xfId="1" applyNumberFormat="1" applyFont="1" applyFill="1" applyBorder="1" applyAlignment="1">
      <alignment horizontal="right" vertical="center" wrapText="1"/>
    </xf>
    <xf numFmtId="0" fontId="1" fillId="2" borderId="2" xfId="0" applyFont="1" applyFill="1" applyBorder="1" applyAlignment="1">
      <alignment horizontal="center" vertical="center" wrapText="1"/>
    </xf>
    <xf numFmtId="1" fontId="3" fillId="0" borderId="12" xfId="1" applyNumberFormat="1" applyFont="1" applyBorder="1" applyAlignment="1" applyProtection="1">
      <alignment horizontal="center" vertical="center" wrapText="1"/>
      <protection locked="0"/>
    </xf>
    <xf numFmtId="8" fontId="3" fillId="3" borderId="1" xfId="1" applyNumberFormat="1" applyFont="1" applyFill="1" applyBorder="1" applyAlignment="1">
      <alignment horizontal="right" vertical="center" wrapText="1"/>
    </xf>
    <xf numFmtId="8" fontId="5" fillId="3" borderId="1" xfId="0" applyNumberFormat="1" applyFont="1" applyFill="1" applyBorder="1" applyAlignment="1">
      <alignment horizontal="right" vertical="center"/>
    </xf>
    <xf numFmtId="0" fontId="1" fillId="0" borderId="0" xfId="0" quotePrefix="1" applyFont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0" xfId="0" applyFont="1" applyAlignment="1">
      <alignment horizontal="left" vertical="center"/>
    </xf>
    <xf numFmtId="0" fontId="17" fillId="10" borderId="0" xfId="0" applyFont="1" applyFill="1" applyAlignment="1">
      <alignment vertical="center"/>
    </xf>
    <xf numFmtId="0" fontId="1" fillId="10" borderId="0" xfId="0" applyFont="1" applyFill="1" applyAlignment="1">
      <alignment vertical="center"/>
    </xf>
    <xf numFmtId="0" fontId="1" fillId="0" borderId="0" xfId="0" applyFont="1" applyAlignment="1">
      <alignment horizontal="right" vertical="center"/>
    </xf>
    <xf numFmtId="0" fontId="18" fillId="10" borderId="0" xfId="0" applyFont="1" applyFill="1" applyAlignment="1">
      <alignment vertical="center"/>
    </xf>
    <xf numFmtId="0" fontId="19" fillId="10" borderId="0" xfId="0" applyFont="1" applyFill="1" applyAlignment="1">
      <alignment vertical="center"/>
    </xf>
    <xf numFmtId="0" fontId="20" fillId="0" borderId="0" xfId="0" applyFont="1" applyAlignment="1">
      <alignment vertical="center"/>
    </xf>
    <xf numFmtId="0" fontId="20" fillId="10" borderId="0" xfId="0" applyFont="1" applyFill="1" applyAlignment="1">
      <alignment vertical="center"/>
    </xf>
    <xf numFmtId="0" fontId="21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17" fillId="11" borderId="1" xfId="0" applyFont="1" applyFill="1" applyBorder="1" applyAlignment="1">
      <alignment horizontal="center" vertical="center" wrapText="1"/>
    </xf>
    <xf numFmtId="164" fontId="3" fillId="12" borderId="2" xfId="1" applyNumberFormat="1" applyFont="1" applyFill="1" applyBorder="1" applyAlignment="1">
      <alignment horizontal="right" vertical="center" wrapText="1"/>
    </xf>
    <xf numFmtId="164" fontId="3" fillId="12" borderId="1" xfId="1" applyNumberFormat="1" applyFont="1" applyFill="1" applyBorder="1" applyAlignment="1">
      <alignment horizontal="right" vertical="center" wrapText="1"/>
    </xf>
    <xf numFmtId="164" fontId="5" fillId="12" borderId="1" xfId="0" applyNumberFormat="1" applyFont="1" applyFill="1" applyBorder="1" applyAlignment="1">
      <alignment horizontal="right" vertical="center"/>
    </xf>
    <xf numFmtId="0" fontId="24" fillId="0" borderId="0" xfId="0" applyFont="1" applyAlignment="1">
      <alignment horizontal="right" vertical="center"/>
    </xf>
    <xf numFmtId="0" fontId="24" fillId="0" borderId="0" xfId="0" applyFont="1" applyAlignment="1">
      <alignment vertical="center"/>
    </xf>
    <xf numFmtId="164" fontId="14" fillId="12" borderId="2" xfId="1" applyNumberFormat="1" applyFont="1" applyFill="1" applyBorder="1" applyAlignment="1">
      <alignment horizontal="right" vertical="center" wrapText="1"/>
    </xf>
    <xf numFmtId="164" fontId="24" fillId="0" borderId="0" xfId="0" applyNumberFormat="1" applyFont="1" applyAlignment="1">
      <alignment vertical="center"/>
    </xf>
    <xf numFmtId="164" fontId="13" fillId="12" borderId="1" xfId="1" applyNumberFormat="1" applyFont="1" applyFill="1" applyBorder="1" applyAlignment="1">
      <alignment horizontal="right" vertical="center" wrapText="1"/>
    </xf>
    <xf numFmtId="164" fontId="13" fillId="12" borderId="2" xfId="1" applyNumberFormat="1" applyFont="1" applyFill="1" applyBorder="1" applyAlignment="1">
      <alignment horizontal="right" vertical="center" wrapText="1"/>
    </xf>
    <xf numFmtId="164" fontId="15" fillId="12" borderId="1" xfId="0" applyNumberFormat="1" applyFont="1" applyFill="1" applyBorder="1" applyAlignment="1">
      <alignment horizontal="right" vertical="center" wrapText="1"/>
    </xf>
    <xf numFmtId="164" fontId="0" fillId="0" borderId="0" xfId="0" applyNumberFormat="1" applyAlignment="1">
      <alignment vertical="center"/>
    </xf>
    <xf numFmtId="0" fontId="25" fillId="0" borderId="0" xfId="0" applyFont="1" applyAlignment="1">
      <alignment vertical="center"/>
    </xf>
    <xf numFmtId="164" fontId="15" fillId="13" borderId="1" xfId="0" applyNumberFormat="1" applyFont="1" applyFill="1" applyBorder="1" applyAlignment="1">
      <alignment horizontal="right" vertical="center" wrapText="1"/>
    </xf>
    <xf numFmtId="0" fontId="1" fillId="5" borderId="1" xfId="0" applyFont="1" applyFill="1" applyBorder="1" applyAlignment="1">
      <alignment horizontal="left" vertical="center" wrapText="1"/>
    </xf>
    <xf numFmtId="0" fontId="3" fillId="5" borderId="1" xfId="1" applyFont="1" applyFill="1" applyBorder="1" applyAlignment="1">
      <alignment horizontal="left" vertical="center" wrapText="1"/>
    </xf>
    <xf numFmtId="0" fontId="0" fillId="5" borderId="0" xfId="0" applyFill="1" applyAlignment="1">
      <alignment vertical="center"/>
    </xf>
    <xf numFmtId="164" fontId="3" fillId="5" borderId="7" xfId="1" applyNumberFormat="1" applyFont="1" applyFill="1" applyBorder="1" applyAlignment="1">
      <alignment horizontal="right" vertical="center" wrapText="1"/>
    </xf>
    <xf numFmtId="164" fontId="3" fillId="5" borderId="3" xfId="1" applyNumberFormat="1" applyFont="1" applyFill="1" applyBorder="1" applyAlignment="1">
      <alignment horizontal="right" vertical="center" wrapText="1"/>
    </xf>
    <xf numFmtId="164" fontId="3" fillId="5" borderId="1" xfId="1" applyNumberFormat="1" applyFont="1" applyFill="1" applyBorder="1" applyAlignment="1">
      <alignment horizontal="right" vertical="center" wrapText="1"/>
    </xf>
    <xf numFmtId="164" fontId="13" fillId="5" borderId="1" xfId="1" applyNumberFormat="1" applyFont="1" applyFill="1" applyBorder="1" applyAlignment="1">
      <alignment horizontal="right" vertical="center" wrapText="1"/>
    </xf>
    <xf numFmtId="1" fontId="3" fillId="5" borderId="0" xfId="1" applyNumberFormat="1" applyFont="1" applyFill="1" applyAlignment="1" applyProtection="1">
      <alignment horizontal="center" vertical="center" wrapText="1"/>
      <protection locked="0"/>
    </xf>
    <xf numFmtId="1" fontId="3" fillId="5" borderId="13" xfId="1" applyNumberFormat="1" applyFont="1" applyFill="1" applyBorder="1" applyAlignment="1" applyProtection="1">
      <alignment horizontal="center" vertical="center" wrapText="1"/>
      <protection locked="0"/>
    </xf>
    <xf numFmtId="0" fontId="23" fillId="11" borderId="7" xfId="0" applyFont="1" applyFill="1" applyBorder="1" applyAlignment="1">
      <alignment horizontal="center" vertical="center"/>
    </xf>
    <xf numFmtId="0" fontId="23" fillId="11" borderId="3" xfId="0" applyFont="1" applyFill="1" applyBorder="1" applyAlignment="1">
      <alignment horizontal="center" vertical="center"/>
    </xf>
    <xf numFmtId="0" fontId="3" fillId="3" borderId="7" xfId="1" applyFont="1" applyFill="1" applyBorder="1" applyAlignment="1">
      <alignment horizontal="left" vertical="center" wrapText="1"/>
    </xf>
    <xf numFmtId="0" fontId="3" fillId="3" borderId="8" xfId="1" applyFont="1" applyFill="1" applyBorder="1" applyAlignment="1">
      <alignment horizontal="left" vertical="center" wrapText="1"/>
    </xf>
    <xf numFmtId="0" fontId="3" fillId="3" borderId="3" xfId="1" applyFont="1" applyFill="1" applyBorder="1" applyAlignment="1">
      <alignment horizontal="left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left" vertical="center"/>
    </xf>
    <xf numFmtId="0" fontId="1" fillId="3" borderId="8" xfId="0" applyFont="1" applyFill="1" applyBorder="1" applyAlignment="1">
      <alignment horizontal="left" vertical="center"/>
    </xf>
    <xf numFmtId="0" fontId="3" fillId="3" borderId="7" xfId="1" applyFont="1" applyFill="1" applyBorder="1" applyAlignment="1">
      <alignment horizontal="center" vertical="center" wrapText="1"/>
    </xf>
    <xf numFmtId="0" fontId="3" fillId="3" borderId="3" xfId="1" applyFont="1" applyFill="1" applyBorder="1" applyAlignment="1">
      <alignment horizontal="center" vertical="center" wrapText="1"/>
    </xf>
    <xf numFmtId="0" fontId="13" fillId="3" borderId="7" xfId="0" applyFont="1" applyFill="1" applyBorder="1" applyAlignment="1">
      <alignment horizontal="right" vertical="center"/>
    </xf>
    <xf numFmtId="0" fontId="13" fillId="3" borderId="8" xfId="0" applyFont="1" applyFill="1" applyBorder="1" applyAlignment="1">
      <alignment horizontal="right" vertical="center"/>
    </xf>
    <xf numFmtId="0" fontId="13" fillId="3" borderId="3" xfId="0" applyFont="1" applyFill="1" applyBorder="1" applyAlignment="1">
      <alignment horizontal="right" vertical="center"/>
    </xf>
    <xf numFmtId="0" fontId="3" fillId="3" borderId="9" xfId="1" applyFont="1" applyFill="1" applyBorder="1" applyAlignment="1">
      <alignment horizontal="left" vertical="center" wrapText="1"/>
    </xf>
    <xf numFmtId="0" fontId="3" fillId="3" borderId="10" xfId="1" applyFont="1" applyFill="1" applyBorder="1" applyAlignment="1">
      <alignment horizontal="left" vertical="center" wrapText="1"/>
    </xf>
    <xf numFmtId="0" fontId="3" fillId="3" borderId="11" xfId="1" applyFont="1" applyFill="1" applyBorder="1" applyAlignment="1">
      <alignment horizontal="left" vertical="center" wrapText="1"/>
    </xf>
    <xf numFmtId="0" fontId="3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5" fillId="2" borderId="1" xfId="0" applyFont="1" applyFill="1" applyBorder="1" applyAlignment="1">
      <alignment horizontal="left" vertical="center" wrapText="1"/>
    </xf>
    <xf numFmtId="164" fontId="3" fillId="5" borderId="2" xfId="1" applyNumberFormat="1" applyFont="1" applyFill="1" applyBorder="1" applyAlignment="1">
      <alignment horizontal="right" vertical="center" wrapText="1"/>
    </xf>
    <xf numFmtId="164" fontId="13" fillId="5" borderId="2" xfId="1" applyNumberFormat="1" applyFont="1" applyFill="1" applyBorder="1" applyAlignment="1">
      <alignment horizontal="right" vertical="center" wrapText="1"/>
    </xf>
  </cellXfs>
  <cellStyles count="2">
    <cellStyle name="Normal" xfId="0" builtinId="0"/>
    <cellStyle name="Normal 3 2" xfId="1" xr:uid="{7A25DAFB-CF08-44EF-8781-A771ADCBDF4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3552825</xdr:colOff>
      <xdr:row>20</xdr:row>
      <xdr:rowOff>114300</xdr:rowOff>
    </xdr:from>
    <xdr:to>
      <xdr:col>1</xdr:col>
      <xdr:colOff>4476750</xdr:colOff>
      <xdr:row>22</xdr:row>
      <xdr:rowOff>133350</xdr:rowOff>
    </xdr:to>
    <xdr:cxnSp macro="">
      <xdr:nvCxnSpPr>
        <xdr:cNvPr id="3" name="Connecteur : en angle 2">
          <a:extLst>
            <a:ext uri="{FF2B5EF4-FFF2-40B4-BE49-F238E27FC236}">
              <a16:creationId xmlns:a16="http://schemas.microsoft.com/office/drawing/2014/main" id="{7232E7B3-C232-2F1E-B331-7EC562C0FE3B}"/>
            </a:ext>
          </a:extLst>
        </xdr:cNvPr>
        <xdr:cNvCxnSpPr>
          <a:cxnSpLocks/>
        </xdr:cNvCxnSpPr>
      </xdr:nvCxnSpPr>
      <xdr:spPr>
        <a:xfrm flipV="1">
          <a:off x="3733800" y="4467225"/>
          <a:ext cx="923925" cy="457200"/>
        </a:xfrm>
        <a:prstGeom prst="bentConnector3">
          <a:avLst/>
        </a:prstGeom>
        <a:ln w="25400">
          <a:solidFill>
            <a:schemeClr val="tx1">
              <a:lumMod val="65000"/>
              <a:lumOff val="35000"/>
            </a:schemeClr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3105150</xdr:colOff>
      <xdr:row>23</xdr:row>
      <xdr:rowOff>95250</xdr:rowOff>
    </xdr:from>
    <xdr:to>
      <xdr:col>4</xdr:col>
      <xdr:colOff>9525</xdr:colOff>
      <xdr:row>24</xdr:row>
      <xdr:rowOff>123825</xdr:rowOff>
    </xdr:to>
    <xdr:cxnSp macro="">
      <xdr:nvCxnSpPr>
        <xdr:cNvPr id="5" name="Connecteur : en angle 4">
          <a:extLst>
            <a:ext uri="{FF2B5EF4-FFF2-40B4-BE49-F238E27FC236}">
              <a16:creationId xmlns:a16="http://schemas.microsoft.com/office/drawing/2014/main" id="{07A25F71-B804-4CA8-A255-4FCD940450C3}"/>
            </a:ext>
          </a:extLst>
        </xdr:cNvPr>
        <xdr:cNvCxnSpPr/>
      </xdr:nvCxnSpPr>
      <xdr:spPr>
        <a:xfrm>
          <a:off x="3286125" y="5753100"/>
          <a:ext cx="2638425" cy="257175"/>
        </a:xfrm>
        <a:prstGeom prst="bentConnector3">
          <a:avLst/>
        </a:prstGeom>
        <a:ln w="25400">
          <a:solidFill>
            <a:schemeClr val="tx1">
              <a:lumMod val="65000"/>
              <a:lumOff val="3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3467100</xdr:colOff>
      <xdr:row>14</xdr:row>
      <xdr:rowOff>142875</xdr:rowOff>
    </xdr:from>
    <xdr:to>
      <xdr:col>1</xdr:col>
      <xdr:colOff>4391025</xdr:colOff>
      <xdr:row>16</xdr:row>
      <xdr:rowOff>161925</xdr:rowOff>
    </xdr:to>
    <xdr:cxnSp macro="">
      <xdr:nvCxnSpPr>
        <xdr:cNvPr id="2" name="Connecteur : en angle 1">
          <a:extLst>
            <a:ext uri="{FF2B5EF4-FFF2-40B4-BE49-F238E27FC236}">
              <a16:creationId xmlns:a16="http://schemas.microsoft.com/office/drawing/2014/main" id="{5CD5E540-FD60-4DA9-8CC6-5FE4683BD77D}"/>
            </a:ext>
          </a:extLst>
        </xdr:cNvPr>
        <xdr:cNvCxnSpPr>
          <a:cxnSpLocks/>
        </xdr:cNvCxnSpPr>
      </xdr:nvCxnSpPr>
      <xdr:spPr>
        <a:xfrm flipV="1">
          <a:off x="3648075" y="3609975"/>
          <a:ext cx="923925" cy="457200"/>
        </a:xfrm>
        <a:prstGeom prst="bentConnector3">
          <a:avLst/>
        </a:prstGeom>
        <a:ln w="25400">
          <a:solidFill>
            <a:schemeClr val="tx1">
              <a:lumMod val="65000"/>
              <a:lumOff val="35000"/>
            </a:schemeClr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3552825</xdr:colOff>
      <xdr:row>20</xdr:row>
      <xdr:rowOff>114300</xdr:rowOff>
    </xdr:from>
    <xdr:to>
      <xdr:col>1</xdr:col>
      <xdr:colOff>4476750</xdr:colOff>
      <xdr:row>22</xdr:row>
      <xdr:rowOff>133350</xdr:rowOff>
    </xdr:to>
    <xdr:cxnSp macro="">
      <xdr:nvCxnSpPr>
        <xdr:cNvPr id="2" name="Connecteur : en angle 1">
          <a:extLst>
            <a:ext uri="{FF2B5EF4-FFF2-40B4-BE49-F238E27FC236}">
              <a16:creationId xmlns:a16="http://schemas.microsoft.com/office/drawing/2014/main" id="{AE0DDFEA-D8AA-4CFF-814B-9D3CE9A148F3}"/>
            </a:ext>
          </a:extLst>
        </xdr:cNvPr>
        <xdr:cNvCxnSpPr>
          <a:cxnSpLocks/>
        </xdr:cNvCxnSpPr>
      </xdr:nvCxnSpPr>
      <xdr:spPr>
        <a:xfrm flipV="1">
          <a:off x="3733800" y="4981575"/>
          <a:ext cx="923925" cy="457200"/>
        </a:xfrm>
        <a:prstGeom prst="bentConnector3">
          <a:avLst/>
        </a:prstGeom>
        <a:ln w="25400">
          <a:solidFill>
            <a:schemeClr val="tx1">
              <a:lumMod val="65000"/>
              <a:lumOff val="35000"/>
            </a:schemeClr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3105150</xdr:colOff>
      <xdr:row>23</xdr:row>
      <xdr:rowOff>95250</xdr:rowOff>
    </xdr:from>
    <xdr:to>
      <xdr:col>4</xdr:col>
      <xdr:colOff>9525</xdr:colOff>
      <xdr:row>24</xdr:row>
      <xdr:rowOff>123825</xdr:rowOff>
    </xdr:to>
    <xdr:cxnSp macro="">
      <xdr:nvCxnSpPr>
        <xdr:cNvPr id="3" name="Connecteur : en angle 2">
          <a:extLst>
            <a:ext uri="{FF2B5EF4-FFF2-40B4-BE49-F238E27FC236}">
              <a16:creationId xmlns:a16="http://schemas.microsoft.com/office/drawing/2014/main" id="{CEB28A14-AF7E-40A3-A8B4-30C885FCB9A5}"/>
            </a:ext>
          </a:extLst>
        </xdr:cNvPr>
        <xdr:cNvCxnSpPr/>
      </xdr:nvCxnSpPr>
      <xdr:spPr>
        <a:xfrm>
          <a:off x="3286125" y="5753100"/>
          <a:ext cx="2638425" cy="257175"/>
        </a:xfrm>
        <a:prstGeom prst="bentConnector3">
          <a:avLst/>
        </a:prstGeom>
        <a:ln w="25400">
          <a:solidFill>
            <a:schemeClr val="tx1">
              <a:lumMod val="65000"/>
              <a:lumOff val="3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3467100</xdr:colOff>
      <xdr:row>14</xdr:row>
      <xdr:rowOff>142875</xdr:rowOff>
    </xdr:from>
    <xdr:to>
      <xdr:col>1</xdr:col>
      <xdr:colOff>4391025</xdr:colOff>
      <xdr:row>16</xdr:row>
      <xdr:rowOff>161925</xdr:rowOff>
    </xdr:to>
    <xdr:cxnSp macro="">
      <xdr:nvCxnSpPr>
        <xdr:cNvPr id="4" name="Connecteur : en angle 3">
          <a:extLst>
            <a:ext uri="{FF2B5EF4-FFF2-40B4-BE49-F238E27FC236}">
              <a16:creationId xmlns:a16="http://schemas.microsoft.com/office/drawing/2014/main" id="{FBCDB4AA-47F7-4C77-9DE2-C547AA09F3CA}"/>
            </a:ext>
          </a:extLst>
        </xdr:cNvPr>
        <xdr:cNvCxnSpPr>
          <a:cxnSpLocks/>
        </xdr:cNvCxnSpPr>
      </xdr:nvCxnSpPr>
      <xdr:spPr>
        <a:xfrm flipV="1">
          <a:off x="3648075" y="3609975"/>
          <a:ext cx="923925" cy="457200"/>
        </a:xfrm>
        <a:prstGeom prst="bentConnector3">
          <a:avLst/>
        </a:prstGeom>
        <a:ln w="25400">
          <a:solidFill>
            <a:schemeClr val="tx1">
              <a:lumMod val="65000"/>
              <a:lumOff val="35000"/>
            </a:schemeClr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3552825</xdr:colOff>
      <xdr:row>20</xdr:row>
      <xdr:rowOff>114300</xdr:rowOff>
    </xdr:from>
    <xdr:to>
      <xdr:col>1</xdr:col>
      <xdr:colOff>4476750</xdr:colOff>
      <xdr:row>22</xdr:row>
      <xdr:rowOff>133350</xdr:rowOff>
    </xdr:to>
    <xdr:cxnSp macro="">
      <xdr:nvCxnSpPr>
        <xdr:cNvPr id="2" name="Connecteur : en angle 1">
          <a:extLst>
            <a:ext uri="{FF2B5EF4-FFF2-40B4-BE49-F238E27FC236}">
              <a16:creationId xmlns:a16="http://schemas.microsoft.com/office/drawing/2014/main" id="{ABE1826A-7561-4266-AE87-FA56F61E234A}"/>
            </a:ext>
          </a:extLst>
        </xdr:cNvPr>
        <xdr:cNvCxnSpPr>
          <a:cxnSpLocks/>
        </xdr:cNvCxnSpPr>
      </xdr:nvCxnSpPr>
      <xdr:spPr>
        <a:xfrm flipV="1">
          <a:off x="3733800" y="4981575"/>
          <a:ext cx="923925" cy="457200"/>
        </a:xfrm>
        <a:prstGeom prst="bentConnector3">
          <a:avLst/>
        </a:prstGeom>
        <a:ln w="25400">
          <a:solidFill>
            <a:schemeClr val="tx1">
              <a:lumMod val="65000"/>
              <a:lumOff val="35000"/>
            </a:schemeClr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3105150</xdr:colOff>
      <xdr:row>23</xdr:row>
      <xdr:rowOff>95250</xdr:rowOff>
    </xdr:from>
    <xdr:to>
      <xdr:col>4</xdr:col>
      <xdr:colOff>9525</xdr:colOff>
      <xdr:row>24</xdr:row>
      <xdr:rowOff>123825</xdr:rowOff>
    </xdr:to>
    <xdr:cxnSp macro="">
      <xdr:nvCxnSpPr>
        <xdr:cNvPr id="3" name="Connecteur : en angle 2">
          <a:extLst>
            <a:ext uri="{FF2B5EF4-FFF2-40B4-BE49-F238E27FC236}">
              <a16:creationId xmlns:a16="http://schemas.microsoft.com/office/drawing/2014/main" id="{5419D147-5482-4BB9-A985-DA29BD4118C9}"/>
            </a:ext>
          </a:extLst>
        </xdr:cNvPr>
        <xdr:cNvCxnSpPr/>
      </xdr:nvCxnSpPr>
      <xdr:spPr>
        <a:xfrm>
          <a:off x="3286125" y="5753100"/>
          <a:ext cx="2638425" cy="257175"/>
        </a:xfrm>
        <a:prstGeom prst="bentConnector3">
          <a:avLst/>
        </a:prstGeom>
        <a:ln w="25400">
          <a:solidFill>
            <a:schemeClr val="tx1">
              <a:lumMod val="65000"/>
              <a:lumOff val="3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3467100</xdr:colOff>
      <xdr:row>14</xdr:row>
      <xdr:rowOff>142875</xdr:rowOff>
    </xdr:from>
    <xdr:to>
      <xdr:col>1</xdr:col>
      <xdr:colOff>4391025</xdr:colOff>
      <xdr:row>16</xdr:row>
      <xdr:rowOff>161925</xdr:rowOff>
    </xdr:to>
    <xdr:cxnSp macro="">
      <xdr:nvCxnSpPr>
        <xdr:cNvPr id="4" name="Connecteur : en angle 3">
          <a:extLst>
            <a:ext uri="{FF2B5EF4-FFF2-40B4-BE49-F238E27FC236}">
              <a16:creationId xmlns:a16="http://schemas.microsoft.com/office/drawing/2014/main" id="{6BB78E5C-3750-42DF-B2FF-17A6F90BDD5D}"/>
            </a:ext>
          </a:extLst>
        </xdr:cNvPr>
        <xdr:cNvCxnSpPr>
          <a:cxnSpLocks/>
        </xdr:cNvCxnSpPr>
      </xdr:nvCxnSpPr>
      <xdr:spPr>
        <a:xfrm flipV="1">
          <a:off x="3648075" y="3609975"/>
          <a:ext cx="923925" cy="457200"/>
        </a:xfrm>
        <a:prstGeom prst="bentConnector3">
          <a:avLst/>
        </a:prstGeom>
        <a:ln w="25400">
          <a:solidFill>
            <a:schemeClr val="tx1">
              <a:lumMod val="65000"/>
              <a:lumOff val="35000"/>
            </a:schemeClr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3552825</xdr:colOff>
      <xdr:row>20</xdr:row>
      <xdr:rowOff>114300</xdr:rowOff>
    </xdr:from>
    <xdr:to>
      <xdr:col>1</xdr:col>
      <xdr:colOff>4476750</xdr:colOff>
      <xdr:row>22</xdr:row>
      <xdr:rowOff>133350</xdr:rowOff>
    </xdr:to>
    <xdr:cxnSp macro="">
      <xdr:nvCxnSpPr>
        <xdr:cNvPr id="2" name="Connecteur : en angle 1">
          <a:extLst>
            <a:ext uri="{FF2B5EF4-FFF2-40B4-BE49-F238E27FC236}">
              <a16:creationId xmlns:a16="http://schemas.microsoft.com/office/drawing/2014/main" id="{42E33746-EB9D-447E-A421-C05BB9D31571}"/>
            </a:ext>
          </a:extLst>
        </xdr:cNvPr>
        <xdr:cNvCxnSpPr>
          <a:cxnSpLocks/>
        </xdr:cNvCxnSpPr>
      </xdr:nvCxnSpPr>
      <xdr:spPr>
        <a:xfrm flipV="1">
          <a:off x="3733800" y="4981575"/>
          <a:ext cx="923925" cy="457200"/>
        </a:xfrm>
        <a:prstGeom prst="bentConnector3">
          <a:avLst/>
        </a:prstGeom>
        <a:ln w="25400">
          <a:solidFill>
            <a:schemeClr val="tx1">
              <a:lumMod val="65000"/>
              <a:lumOff val="35000"/>
            </a:schemeClr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3105150</xdr:colOff>
      <xdr:row>23</xdr:row>
      <xdr:rowOff>95250</xdr:rowOff>
    </xdr:from>
    <xdr:to>
      <xdr:col>4</xdr:col>
      <xdr:colOff>9525</xdr:colOff>
      <xdr:row>24</xdr:row>
      <xdr:rowOff>123825</xdr:rowOff>
    </xdr:to>
    <xdr:cxnSp macro="">
      <xdr:nvCxnSpPr>
        <xdr:cNvPr id="3" name="Connecteur : en angle 2">
          <a:extLst>
            <a:ext uri="{FF2B5EF4-FFF2-40B4-BE49-F238E27FC236}">
              <a16:creationId xmlns:a16="http://schemas.microsoft.com/office/drawing/2014/main" id="{3A9E5D90-32DE-4580-96C4-5CD3D99F77A1}"/>
            </a:ext>
          </a:extLst>
        </xdr:cNvPr>
        <xdr:cNvCxnSpPr/>
      </xdr:nvCxnSpPr>
      <xdr:spPr>
        <a:xfrm>
          <a:off x="3286125" y="5753100"/>
          <a:ext cx="2638425" cy="257175"/>
        </a:xfrm>
        <a:prstGeom prst="bentConnector3">
          <a:avLst/>
        </a:prstGeom>
        <a:ln w="25400">
          <a:solidFill>
            <a:schemeClr val="tx1">
              <a:lumMod val="65000"/>
              <a:lumOff val="3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3467100</xdr:colOff>
      <xdr:row>14</xdr:row>
      <xdr:rowOff>142875</xdr:rowOff>
    </xdr:from>
    <xdr:to>
      <xdr:col>1</xdr:col>
      <xdr:colOff>4391025</xdr:colOff>
      <xdr:row>16</xdr:row>
      <xdr:rowOff>161925</xdr:rowOff>
    </xdr:to>
    <xdr:cxnSp macro="">
      <xdr:nvCxnSpPr>
        <xdr:cNvPr id="4" name="Connecteur : en angle 3">
          <a:extLst>
            <a:ext uri="{FF2B5EF4-FFF2-40B4-BE49-F238E27FC236}">
              <a16:creationId xmlns:a16="http://schemas.microsoft.com/office/drawing/2014/main" id="{97CD5B6B-D6AF-48E7-A6DC-AB4A7DDA3F34}"/>
            </a:ext>
          </a:extLst>
        </xdr:cNvPr>
        <xdr:cNvCxnSpPr>
          <a:cxnSpLocks/>
        </xdr:cNvCxnSpPr>
      </xdr:nvCxnSpPr>
      <xdr:spPr>
        <a:xfrm flipV="1">
          <a:off x="3648075" y="3609975"/>
          <a:ext cx="923925" cy="457200"/>
        </a:xfrm>
        <a:prstGeom prst="bentConnector3">
          <a:avLst/>
        </a:prstGeom>
        <a:ln w="25400">
          <a:solidFill>
            <a:schemeClr val="tx1">
              <a:lumMod val="65000"/>
              <a:lumOff val="35000"/>
            </a:schemeClr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A5DD99-9F06-424E-B39D-4759FC519192}">
  <sheetPr>
    <pageSetUpPr fitToPage="1"/>
  </sheetPr>
  <dimension ref="B1:F84"/>
  <sheetViews>
    <sheetView showGridLines="0" tabSelected="1" workbookViewId="0"/>
  </sheetViews>
  <sheetFormatPr baseColWidth="10" defaultRowHeight="14.25" x14ac:dyDescent="0.25"/>
  <cols>
    <col min="1" max="1" width="2.7109375" style="30" customWidth="1"/>
    <col min="2" max="16384" width="11.42578125" style="30"/>
  </cols>
  <sheetData>
    <row r="1" spans="2:4" ht="24.95" customHeight="1" x14ac:dyDescent="0.25"/>
    <row r="2" spans="2:4" s="49" customFormat="1" ht="20.100000000000001" customHeight="1" x14ac:dyDescent="0.25">
      <c r="B2" s="47" t="s">
        <v>79</v>
      </c>
      <c r="C2" s="48"/>
      <c r="D2" s="50"/>
    </row>
    <row r="3" spans="2:4" ht="8.1" customHeight="1" x14ac:dyDescent="0.25"/>
    <row r="4" spans="2:4" x14ac:dyDescent="0.25">
      <c r="B4" s="30" t="s">
        <v>51</v>
      </c>
    </row>
    <row r="5" spans="2:4" x14ac:dyDescent="0.25">
      <c r="B5" s="30" t="s">
        <v>52</v>
      </c>
    </row>
    <row r="6" spans="2:4" ht="8.1" customHeight="1" x14ac:dyDescent="0.25"/>
    <row r="7" spans="2:4" x14ac:dyDescent="0.25">
      <c r="B7" s="30" t="s">
        <v>54</v>
      </c>
    </row>
    <row r="8" spans="2:4" x14ac:dyDescent="0.25">
      <c r="B8" s="30" t="s">
        <v>53</v>
      </c>
    </row>
    <row r="9" spans="2:4" ht="8.1" customHeight="1" x14ac:dyDescent="0.25"/>
    <row r="10" spans="2:4" x14ac:dyDescent="0.25">
      <c r="B10" s="30" t="s">
        <v>95</v>
      </c>
    </row>
    <row r="11" spans="2:4" x14ac:dyDescent="0.25">
      <c r="B11" s="30" t="s">
        <v>96</v>
      </c>
    </row>
    <row r="12" spans="2:4" x14ac:dyDescent="0.25">
      <c r="B12" s="30" t="s">
        <v>97</v>
      </c>
    </row>
    <row r="13" spans="2:4" ht="8.1" customHeight="1" x14ac:dyDescent="0.25"/>
    <row r="14" spans="2:4" x14ac:dyDescent="0.25">
      <c r="B14" s="30" t="s">
        <v>93</v>
      </c>
    </row>
    <row r="15" spans="2:4" x14ac:dyDescent="0.25">
      <c r="B15" s="30" t="s">
        <v>98</v>
      </c>
    </row>
    <row r="16" spans="2:4" x14ac:dyDescent="0.25">
      <c r="B16" s="30" t="s">
        <v>94</v>
      </c>
    </row>
    <row r="17" spans="2:5" ht="8.1" customHeight="1" x14ac:dyDescent="0.25"/>
    <row r="18" spans="2:5" x14ac:dyDescent="0.25">
      <c r="B18" s="30" t="s">
        <v>99</v>
      </c>
    </row>
    <row r="19" spans="2:5" x14ac:dyDescent="0.25">
      <c r="B19" s="30" t="s">
        <v>92</v>
      </c>
    </row>
    <row r="20" spans="2:5" ht="20.100000000000001" customHeight="1" x14ac:dyDescent="0.25"/>
    <row r="21" spans="2:5" ht="20.100000000000001" customHeight="1" x14ac:dyDescent="0.25">
      <c r="B21" s="47" t="s">
        <v>80</v>
      </c>
      <c r="C21" s="44"/>
      <c r="D21" s="44"/>
      <c r="E21" s="45"/>
    </row>
    <row r="22" spans="2:5" ht="8.1" customHeight="1" x14ac:dyDescent="0.25"/>
    <row r="23" spans="2:5" x14ac:dyDescent="0.25">
      <c r="B23" s="30" t="s">
        <v>81</v>
      </c>
    </row>
    <row r="24" spans="2:5" x14ac:dyDescent="0.25">
      <c r="B24" s="30" t="s">
        <v>82</v>
      </c>
    </row>
    <row r="25" spans="2:5" ht="8.1" customHeight="1" x14ac:dyDescent="0.25"/>
    <row r="26" spans="2:5" ht="14.25" customHeight="1" x14ac:dyDescent="0.25">
      <c r="B26" s="46" t="s">
        <v>83</v>
      </c>
      <c r="C26" s="30" t="s">
        <v>85</v>
      </c>
    </row>
    <row r="27" spans="2:5" ht="14.25" customHeight="1" x14ac:dyDescent="0.25">
      <c r="B27" s="46"/>
      <c r="C27" s="30" t="s">
        <v>86</v>
      </c>
    </row>
    <row r="28" spans="2:5" ht="8.1" customHeight="1" x14ac:dyDescent="0.25"/>
    <row r="29" spans="2:5" ht="14.25" customHeight="1" x14ac:dyDescent="0.25">
      <c r="B29" s="46" t="s">
        <v>84</v>
      </c>
      <c r="C29" s="30" t="s">
        <v>112</v>
      </c>
    </row>
    <row r="30" spans="2:5" ht="14.25" customHeight="1" x14ac:dyDescent="0.25">
      <c r="C30" s="30" t="s">
        <v>113</v>
      </c>
    </row>
    <row r="31" spans="2:5" ht="14.25" customHeight="1" x14ac:dyDescent="0.25">
      <c r="C31" s="30" t="s">
        <v>87</v>
      </c>
    </row>
    <row r="32" spans="2:5" ht="14.25" customHeight="1" x14ac:dyDescent="0.25">
      <c r="C32" s="30" t="s">
        <v>88</v>
      </c>
    </row>
    <row r="33" spans="2:3" ht="8.1" customHeight="1" x14ac:dyDescent="0.25"/>
    <row r="34" spans="2:3" x14ac:dyDescent="0.25">
      <c r="B34" s="51" t="s">
        <v>55</v>
      </c>
    </row>
    <row r="35" spans="2:3" x14ac:dyDescent="0.25">
      <c r="C35" s="30" t="s">
        <v>100</v>
      </c>
    </row>
    <row r="36" spans="2:3" x14ac:dyDescent="0.25">
      <c r="C36" s="30" t="s">
        <v>101</v>
      </c>
    </row>
    <row r="37" spans="2:3" x14ac:dyDescent="0.25">
      <c r="C37" s="30" t="s">
        <v>102</v>
      </c>
    </row>
    <row r="38" spans="2:3" x14ac:dyDescent="0.25">
      <c r="C38" s="95" t="s">
        <v>114</v>
      </c>
    </row>
    <row r="39" spans="2:3" x14ac:dyDescent="0.25">
      <c r="C39" s="95" t="s">
        <v>115</v>
      </c>
    </row>
    <row r="40" spans="2:3" x14ac:dyDescent="0.25">
      <c r="C40" s="96" t="s">
        <v>116</v>
      </c>
    </row>
    <row r="41" spans="2:3" ht="8.1" customHeight="1" x14ac:dyDescent="0.25"/>
    <row r="42" spans="2:3" x14ac:dyDescent="0.25">
      <c r="B42" s="51" t="s">
        <v>56</v>
      </c>
    </row>
    <row r="43" spans="2:3" x14ac:dyDescent="0.25">
      <c r="C43" s="30" t="s">
        <v>57</v>
      </c>
    </row>
    <row r="44" spans="2:3" x14ac:dyDescent="0.25">
      <c r="C44" s="30" t="s">
        <v>104</v>
      </c>
    </row>
    <row r="45" spans="2:3" ht="8.1" customHeight="1" x14ac:dyDescent="0.25"/>
    <row r="46" spans="2:3" x14ac:dyDescent="0.25">
      <c r="B46" s="51" t="s">
        <v>58</v>
      </c>
    </row>
    <row r="47" spans="2:3" x14ac:dyDescent="0.25">
      <c r="C47" s="30" t="s">
        <v>59</v>
      </c>
    </row>
    <row r="48" spans="2:3" x14ac:dyDescent="0.25">
      <c r="C48" s="30" t="s">
        <v>103</v>
      </c>
    </row>
    <row r="49" spans="2:3" ht="8.1" customHeight="1" x14ac:dyDescent="0.25"/>
    <row r="50" spans="2:3" x14ac:dyDescent="0.25">
      <c r="B50" s="51" t="s">
        <v>60</v>
      </c>
    </row>
    <row r="51" spans="2:3" x14ac:dyDescent="0.25">
      <c r="C51" s="30" t="s">
        <v>61</v>
      </c>
    </row>
    <row r="52" spans="2:3" ht="8.1" customHeight="1" x14ac:dyDescent="0.25"/>
    <row r="53" spans="2:3" x14ac:dyDescent="0.25">
      <c r="B53" s="30" t="s">
        <v>122</v>
      </c>
    </row>
    <row r="54" spans="2:3" x14ac:dyDescent="0.25">
      <c r="B54" s="30" t="s">
        <v>117</v>
      </c>
    </row>
    <row r="55" spans="2:3" x14ac:dyDescent="0.25">
      <c r="B55" s="30" t="s">
        <v>118</v>
      </c>
    </row>
    <row r="56" spans="2:3" x14ac:dyDescent="0.25">
      <c r="B56" s="30" t="s">
        <v>119</v>
      </c>
    </row>
    <row r="57" spans="2:3" x14ac:dyDescent="0.25">
      <c r="B57" s="30" t="s">
        <v>120</v>
      </c>
    </row>
    <row r="58" spans="2:3" x14ac:dyDescent="0.25">
      <c r="B58" s="30" t="s">
        <v>123</v>
      </c>
    </row>
    <row r="59" spans="2:3" x14ac:dyDescent="0.25">
      <c r="B59" s="30" t="s">
        <v>121</v>
      </c>
    </row>
    <row r="60" spans="2:3" ht="8.1" customHeight="1" x14ac:dyDescent="0.25"/>
    <row r="61" spans="2:3" x14ac:dyDescent="0.25">
      <c r="B61" s="53" t="s">
        <v>90</v>
      </c>
    </row>
    <row r="62" spans="2:3" ht="8.1" customHeight="1" x14ac:dyDescent="0.25"/>
    <row r="63" spans="2:3" x14ac:dyDescent="0.25">
      <c r="C63" s="41" t="s">
        <v>64</v>
      </c>
    </row>
    <row r="64" spans="2:3" x14ac:dyDescent="0.25">
      <c r="C64" s="41" t="s">
        <v>65</v>
      </c>
    </row>
    <row r="65" spans="2:3" ht="8.1" customHeight="1" x14ac:dyDescent="0.25"/>
    <row r="66" spans="2:3" x14ac:dyDescent="0.25">
      <c r="C66" s="41" t="s">
        <v>62</v>
      </c>
    </row>
    <row r="67" spans="2:3" x14ac:dyDescent="0.25">
      <c r="C67" s="30" t="s">
        <v>63</v>
      </c>
    </row>
    <row r="68" spans="2:3" ht="8.1" customHeight="1" x14ac:dyDescent="0.25"/>
    <row r="69" spans="2:3" x14ac:dyDescent="0.25">
      <c r="C69" s="41" t="s">
        <v>66</v>
      </c>
    </row>
    <row r="70" spans="2:3" ht="8.1" customHeight="1" x14ac:dyDescent="0.25"/>
    <row r="71" spans="2:3" x14ac:dyDescent="0.25">
      <c r="B71" s="53" t="s">
        <v>91</v>
      </c>
    </row>
    <row r="72" spans="2:3" ht="8.1" customHeight="1" x14ac:dyDescent="0.25"/>
    <row r="73" spans="2:3" x14ac:dyDescent="0.25">
      <c r="C73" s="41" t="s">
        <v>67</v>
      </c>
    </row>
    <row r="74" spans="2:3" x14ac:dyDescent="0.25">
      <c r="C74" s="41" t="s">
        <v>68</v>
      </c>
    </row>
    <row r="75" spans="2:3" ht="8.1" customHeight="1" x14ac:dyDescent="0.25"/>
    <row r="76" spans="2:3" x14ac:dyDescent="0.25">
      <c r="C76" s="41" t="s">
        <v>69</v>
      </c>
    </row>
    <row r="77" spans="2:3" ht="8.1" customHeight="1" x14ac:dyDescent="0.25"/>
    <row r="78" spans="2:3" x14ac:dyDescent="0.25">
      <c r="C78" s="41" t="s">
        <v>70</v>
      </c>
    </row>
    <row r="79" spans="2:3" x14ac:dyDescent="0.25">
      <c r="C79" s="30" t="s">
        <v>71</v>
      </c>
    </row>
    <row r="80" spans="2:3" x14ac:dyDescent="0.25">
      <c r="C80" s="30" t="s">
        <v>72</v>
      </c>
    </row>
    <row r="81" spans="2:6" ht="8.1" customHeight="1" thickBot="1" x14ac:dyDescent="0.3"/>
    <row r="82" spans="2:6" ht="15.75" thickTop="1" thickBot="1" x14ac:dyDescent="0.3">
      <c r="C82" s="41" t="s">
        <v>73</v>
      </c>
      <c r="E82" s="42"/>
      <c r="F82" s="43" t="s">
        <v>74</v>
      </c>
    </row>
    <row r="83" spans="2:6" ht="15" thickTop="1" x14ac:dyDescent="0.25">
      <c r="C83" s="30" t="s">
        <v>75</v>
      </c>
    </row>
    <row r="84" spans="2:6" ht="69" customHeight="1" x14ac:dyDescent="0.25">
      <c r="B84" s="52" t="s">
        <v>89</v>
      </c>
    </row>
  </sheetData>
  <sheetProtection algorithmName="SHA-512" hashValue="5v4LXh3+vr/k3dAtyBRQz4ZtR01g/KIBSoVzpYiwrLsC+4LdWN+5Wtee10j7+JdY0NBW1ZyC0hyUj7wx9aZxsQ==" saltValue="lpODmDbeHKGCkW8OkDH5Jg==" spinCount="100000" sheet="1" objects="1" scenarios="1"/>
  <pageMargins left="0.70866141732283472" right="0.70866141732283472" top="0.74803149606299213" bottom="0.74803149606299213" header="0.31496062992125984" footer="0.31496062992125984"/>
  <pageSetup paperSize="9" scale="62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CAD1AB-511F-4758-B35A-46AC910D9CE9}">
  <sheetPr>
    <tabColor rgb="FF00B050"/>
  </sheetPr>
  <dimension ref="B1:O53"/>
  <sheetViews>
    <sheetView showGridLines="0" zoomScaleNormal="100" workbookViewId="0">
      <selection activeCell="B1" sqref="B1"/>
    </sheetView>
  </sheetViews>
  <sheetFormatPr baseColWidth="10" defaultRowHeight="15" x14ac:dyDescent="0.25"/>
  <cols>
    <col min="1" max="1" width="2.7109375" style="9" customWidth="1"/>
    <col min="2" max="2" width="68.140625" style="9" bestFit="1" customWidth="1"/>
    <col min="3" max="3" width="17.85546875" style="9" customWidth="1"/>
    <col min="4" max="4" width="23.140625" style="9" hidden="1" customWidth="1"/>
    <col min="5" max="5" width="18.140625" style="9" bestFit="1" customWidth="1"/>
    <col min="6" max="6" width="13.28515625" style="9" customWidth="1"/>
    <col min="7" max="8" width="20.7109375" style="9" customWidth="1"/>
    <col min="9" max="9" width="2.7109375" style="9" customWidth="1"/>
    <col min="10" max="11" width="20.7109375" style="9" customWidth="1"/>
    <col min="12" max="12" width="2.7109375" style="9" customWidth="1"/>
    <col min="13" max="13" width="20.7109375" style="9" customWidth="1"/>
    <col min="14" max="14" width="2.7109375" style="9" customWidth="1"/>
    <col min="15" max="15" width="20.7109375" style="9" customWidth="1"/>
    <col min="16" max="20" width="15" style="9" bestFit="1" customWidth="1"/>
    <col min="21" max="21" width="15.140625" style="9" customWidth="1"/>
    <col min="22" max="16384" width="11.42578125" style="9"/>
  </cols>
  <sheetData>
    <row r="1" spans="2:15" ht="30" customHeight="1" x14ac:dyDescent="0.25">
      <c r="B1" s="22" t="s">
        <v>46</v>
      </c>
    </row>
    <row r="2" spans="2:15" ht="18" customHeight="1" x14ac:dyDescent="0.25">
      <c r="E2" s="18" t="s">
        <v>39</v>
      </c>
      <c r="F2" s="19"/>
      <c r="G2" s="29">
        <v>100718</v>
      </c>
    </row>
    <row r="3" spans="2:15" ht="18" customHeight="1" thickBot="1" x14ac:dyDescent="0.3">
      <c r="E3" s="18" t="s">
        <v>105</v>
      </c>
      <c r="F3" s="19"/>
      <c r="G3" s="32">
        <v>10133</v>
      </c>
    </row>
    <row r="4" spans="2:15" ht="18" customHeight="1" thickTop="1" thickBot="1" x14ac:dyDescent="0.3">
      <c r="E4" s="85" t="s">
        <v>48</v>
      </c>
      <c r="F4" s="86"/>
      <c r="G4" s="33"/>
    </row>
    <row r="5" spans="2:15" ht="20.100000000000001" customHeight="1" thickTop="1" x14ac:dyDescent="0.25">
      <c r="B5" s="23" t="s">
        <v>22</v>
      </c>
    </row>
    <row r="6" spans="2:15" x14ac:dyDescent="0.25">
      <c r="J6" s="77" t="s">
        <v>107</v>
      </c>
      <c r="K6" s="78"/>
    </row>
    <row r="7" spans="2:15" ht="27.95" customHeight="1" x14ac:dyDescent="0.25">
      <c r="B7" s="24" t="s">
        <v>20</v>
      </c>
      <c r="C7" s="82" t="s">
        <v>17</v>
      </c>
      <c r="D7" s="83"/>
      <c r="E7" s="83"/>
      <c r="F7" s="84"/>
      <c r="G7" s="13" t="s">
        <v>2</v>
      </c>
      <c r="H7" s="2" t="s">
        <v>36</v>
      </c>
      <c r="J7" s="54" t="s">
        <v>2</v>
      </c>
      <c r="K7" s="54" t="s">
        <v>36</v>
      </c>
      <c r="M7" s="20" t="s">
        <v>42</v>
      </c>
      <c r="O7" s="54" t="s">
        <v>110</v>
      </c>
    </row>
    <row r="8" spans="2:15" ht="18" customHeight="1" x14ac:dyDescent="0.25">
      <c r="B8" s="4" t="s">
        <v>1</v>
      </c>
      <c r="C8" s="79" t="s">
        <v>3</v>
      </c>
      <c r="D8" s="80"/>
      <c r="E8" s="80"/>
      <c r="F8" s="81"/>
      <c r="G8" s="6">
        <v>1299503.3500000001</v>
      </c>
      <c r="H8" s="6">
        <v>1429453.69</v>
      </c>
      <c r="J8" s="55">
        <v>0</v>
      </c>
      <c r="K8" s="55">
        <v>0</v>
      </c>
      <c r="M8" s="6">
        <f t="shared" ref="M8:M11" si="0">H8/$G$2*$G$4</f>
        <v>0</v>
      </c>
      <c r="O8" s="55">
        <f>K8/$G$2*$G$4</f>
        <v>0</v>
      </c>
    </row>
    <row r="9" spans="2:15" ht="18" customHeight="1" x14ac:dyDescent="0.25">
      <c r="B9" s="1" t="s">
        <v>0</v>
      </c>
      <c r="C9" s="79" t="s">
        <v>4</v>
      </c>
      <c r="D9" s="80"/>
      <c r="E9" s="80"/>
      <c r="F9" s="81"/>
      <c r="G9" s="8">
        <v>132572.78</v>
      </c>
      <c r="H9" s="8">
        <v>140684.81</v>
      </c>
      <c r="J9" s="56">
        <f>5241.49+7289.14+101808.27</f>
        <v>114338.90000000001</v>
      </c>
      <c r="K9" s="56">
        <f>5529.77+7690.04+107407.72</f>
        <v>120627.53</v>
      </c>
      <c r="M9" s="8">
        <f t="shared" si="0"/>
        <v>0</v>
      </c>
      <c r="O9" s="56">
        <f>K9/$G$2*$G$4</f>
        <v>0</v>
      </c>
    </row>
    <row r="10" spans="2:15" ht="18" customHeight="1" x14ac:dyDescent="0.25">
      <c r="B10" s="5" t="s">
        <v>16</v>
      </c>
      <c r="C10" s="79" t="s">
        <v>5</v>
      </c>
      <c r="D10" s="80"/>
      <c r="E10" s="80"/>
      <c r="F10" s="81"/>
      <c r="G10" s="8">
        <v>136823.4</v>
      </c>
      <c r="H10" s="8">
        <v>150505.74000000002</v>
      </c>
      <c r="J10" s="56">
        <v>0</v>
      </c>
      <c r="K10" s="56">
        <v>0</v>
      </c>
      <c r="M10" s="8">
        <f t="shared" si="0"/>
        <v>0</v>
      </c>
      <c r="O10" s="56">
        <f>K10/$G$2*$G$4</f>
        <v>0</v>
      </c>
    </row>
    <row r="11" spans="2:15" ht="18" customHeight="1" x14ac:dyDescent="0.25">
      <c r="B11" s="5" t="s">
        <v>6</v>
      </c>
      <c r="C11" s="79" t="s">
        <v>7</v>
      </c>
      <c r="D11" s="80"/>
      <c r="E11" s="80"/>
      <c r="F11" s="81"/>
      <c r="G11" s="8">
        <v>142826.4</v>
      </c>
      <c r="H11" s="8">
        <v>150681.85</v>
      </c>
      <c r="J11" s="56">
        <v>142826.4</v>
      </c>
      <c r="K11" s="56">
        <v>150681.85</v>
      </c>
      <c r="M11" s="8">
        <f t="shared" si="0"/>
        <v>0</v>
      </c>
      <c r="O11" s="56">
        <f>K11/$G$2*$G$4</f>
        <v>0</v>
      </c>
    </row>
    <row r="12" spans="2:15" ht="24.95" customHeight="1" x14ac:dyDescent="0.25">
      <c r="B12" s="89" t="s">
        <v>43</v>
      </c>
      <c r="C12" s="90"/>
      <c r="D12" s="90"/>
      <c r="E12" s="90"/>
      <c r="F12" s="91"/>
      <c r="G12" s="15">
        <f>SUM(G8:G11)</f>
        <v>1711725.93</v>
      </c>
      <c r="H12" s="15">
        <f>SUM(H8:H11)</f>
        <v>1871326.09</v>
      </c>
      <c r="J12" s="57">
        <f>SUM(J8:J11)</f>
        <v>257165.3</v>
      </c>
      <c r="K12" s="57">
        <f>SUM(K8:K11)</f>
        <v>271309.38</v>
      </c>
      <c r="M12" s="15">
        <f>H12/$G$2*$G$4</f>
        <v>0</v>
      </c>
      <c r="O12" s="57">
        <f>K12/$G$2*$G$4</f>
        <v>0</v>
      </c>
    </row>
    <row r="13" spans="2:15" ht="15" customHeight="1" x14ac:dyDescent="0.25"/>
    <row r="14" spans="2:15" ht="15" customHeight="1" thickBot="1" x14ac:dyDescent="0.3">
      <c r="K14" s="58" t="s">
        <v>108</v>
      </c>
      <c r="L14" s="59"/>
      <c r="M14" s="61">
        <f>SUM(M8:M11)</f>
        <v>0</v>
      </c>
      <c r="O14" s="61">
        <f>SUM(O8:O11)</f>
        <v>0</v>
      </c>
    </row>
    <row r="15" spans="2:15" ht="20.100000000000001" customHeight="1" thickTop="1" thickBot="1" x14ac:dyDescent="0.3">
      <c r="B15" s="23" t="s">
        <v>23</v>
      </c>
      <c r="C15" s="21" t="s">
        <v>45</v>
      </c>
      <c r="D15" s="34"/>
      <c r="E15" s="35"/>
    </row>
    <row r="16" spans="2:15" ht="15" customHeight="1" thickTop="1" x14ac:dyDescent="0.25">
      <c r="J16" s="77" t="s">
        <v>107</v>
      </c>
      <c r="K16" s="78"/>
    </row>
    <row r="17" spans="2:15" ht="27.95" customHeight="1" x14ac:dyDescent="0.25">
      <c r="B17" s="24" t="s">
        <v>24</v>
      </c>
      <c r="C17" s="82" t="s">
        <v>17</v>
      </c>
      <c r="D17" s="83"/>
      <c r="E17" s="83"/>
      <c r="F17" s="84"/>
      <c r="G17" s="13" t="s">
        <v>2</v>
      </c>
      <c r="H17" s="2" t="s">
        <v>36</v>
      </c>
      <c r="J17" s="54" t="s">
        <v>2</v>
      </c>
      <c r="K17" s="54" t="s">
        <v>36</v>
      </c>
      <c r="M17" s="20" t="s">
        <v>42</v>
      </c>
      <c r="O17" s="54" t="s">
        <v>110</v>
      </c>
    </row>
    <row r="18" spans="2:15" ht="18" customHeight="1" x14ac:dyDescent="0.25">
      <c r="B18" s="1" t="s">
        <v>21</v>
      </c>
      <c r="C18" s="79" t="s">
        <v>3</v>
      </c>
      <c r="D18" s="80"/>
      <c r="E18" s="80"/>
      <c r="F18" s="81"/>
      <c r="G18" s="8">
        <f>IF($E$15=1,0,0)</f>
        <v>0</v>
      </c>
      <c r="H18" s="8">
        <f>IF($E$15=1,0,0)</f>
        <v>0</v>
      </c>
      <c r="J18" s="56">
        <v>0</v>
      </c>
      <c r="K18" s="56">
        <v>0</v>
      </c>
      <c r="M18" s="15">
        <f>H18/$G$2*$G$4</f>
        <v>0</v>
      </c>
      <c r="O18" s="62">
        <f>K18/$G$2*$G$4</f>
        <v>0</v>
      </c>
    </row>
    <row r="20" spans="2:15" ht="15.75" thickBot="1" x14ac:dyDescent="0.3"/>
    <row r="21" spans="2:15" ht="20.100000000000001" customHeight="1" thickTop="1" thickBot="1" x14ac:dyDescent="0.3">
      <c r="B21" s="23" t="s">
        <v>38</v>
      </c>
      <c r="C21" s="21" t="s">
        <v>45</v>
      </c>
      <c r="D21" s="34"/>
      <c r="E21" s="35"/>
    </row>
    <row r="22" spans="2:15" ht="15.75" thickTop="1" x14ac:dyDescent="0.25">
      <c r="J22" s="77" t="s">
        <v>107</v>
      </c>
      <c r="K22" s="78"/>
    </row>
    <row r="23" spans="2:15" ht="27.95" customHeight="1" x14ac:dyDescent="0.25">
      <c r="B23" s="24" t="s">
        <v>25</v>
      </c>
      <c r="C23" s="82" t="s">
        <v>17</v>
      </c>
      <c r="D23" s="83"/>
      <c r="E23" s="83"/>
      <c r="F23" s="84"/>
      <c r="G23" s="13" t="s">
        <v>2</v>
      </c>
      <c r="H23" s="2" t="s">
        <v>36</v>
      </c>
      <c r="J23" s="54" t="s">
        <v>2</v>
      </c>
      <c r="K23" s="54" t="s">
        <v>36</v>
      </c>
      <c r="M23" s="20" t="s">
        <v>42</v>
      </c>
      <c r="O23" s="54" t="s">
        <v>110</v>
      </c>
    </row>
    <row r="24" spans="2:15" ht="18" customHeight="1" x14ac:dyDescent="0.25">
      <c r="B24" s="4" t="s">
        <v>18</v>
      </c>
      <c r="C24" s="92" t="s">
        <v>5</v>
      </c>
      <c r="D24" s="93"/>
      <c r="E24" s="93"/>
      <c r="F24" s="94"/>
      <c r="G24" s="27">
        <v>609465.55000000005</v>
      </c>
      <c r="H24" s="27">
        <v>650922.6</v>
      </c>
      <c r="J24" s="60">
        <f>126338.88+48932.48+81608+77503.36+44761.5+17287.2+1398.6+28012.6+7257.6</f>
        <v>433100.22</v>
      </c>
      <c r="K24" s="60">
        <f>+J24*1.055</f>
        <v>456920.73209999996</v>
      </c>
    </row>
    <row r="25" spans="2:15" ht="18" customHeight="1" x14ac:dyDescent="0.25">
      <c r="B25" s="5"/>
      <c r="C25" s="25"/>
      <c r="D25" s="26"/>
      <c r="E25" s="87" t="s">
        <v>106</v>
      </c>
      <c r="F25" s="88"/>
      <c r="G25" s="8">
        <f>IF($E$21=1,70054.14,0)</f>
        <v>0</v>
      </c>
      <c r="H25" s="8">
        <f>IF($E$21=1,74833.14,0)</f>
        <v>0</v>
      </c>
      <c r="J25" s="56">
        <f>IF($E$21=1,35438.12,0)</f>
        <v>0</v>
      </c>
      <c r="K25" s="56">
        <f>+J25*1.055</f>
        <v>0</v>
      </c>
      <c r="M25" s="15">
        <f>H25/$G$3*$G$4</f>
        <v>0</v>
      </c>
      <c r="O25" s="57">
        <f>K25/$G$3*$G$4</f>
        <v>0</v>
      </c>
    </row>
    <row r="26" spans="2:15" ht="18" customHeight="1" x14ac:dyDescent="0.25">
      <c r="B26" s="1" t="s">
        <v>37</v>
      </c>
      <c r="C26" s="79" t="s">
        <v>4</v>
      </c>
      <c r="D26" s="80"/>
      <c r="E26" s="80"/>
      <c r="F26" s="80"/>
      <c r="G26" s="12"/>
      <c r="H26" s="12"/>
      <c r="J26" s="12"/>
      <c r="K26" s="12"/>
      <c r="M26" s="28">
        <f>H26/$G$3*$G$4</f>
        <v>0</v>
      </c>
      <c r="O26" s="28">
        <f>J26/$G$3*$G$4</f>
        <v>0</v>
      </c>
    </row>
    <row r="29" spans="2:15" x14ac:dyDescent="0.25">
      <c r="J29" s="77" t="s">
        <v>109</v>
      </c>
      <c r="K29" s="78"/>
    </row>
    <row r="30" spans="2:15" ht="27.95" customHeight="1" x14ac:dyDescent="0.25">
      <c r="B30" s="24" t="s">
        <v>40</v>
      </c>
      <c r="C30" s="82" t="s">
        <v>34</v>
      </c>
      <c r="D30" s="83"/>
      <c r="E30" s="84"/>
      <c r="F30" s="2" t="s">
        <v>35</v>
      </c>
      <c r="G30" s="13" t="s">
        <v>2</v>
      </c>
      <c r="H30" s="2" t="s">
        <v>36</v>
      </c>
      <c r="J30" s="54" t="s">
        <v>2</v>
      </c>
      <c r="K30" s="54" t="s">
        <v>36</v>
      </c>
      <c r="M30" s="20" t="s">
        <v>42</v>
      </c>
      <c r="O30" s="54" t="s">
        <v>110</v>
      </c>
    </row>
    <row r="31" spans="2:15" ht="18" customHeight="1" x14ac:dyDescent="0.25">
      <c r="B31" s="4" t="s">
        <v>8</v>
      </c>
      <c r="C31" s="79" t="s">
        <v>9</v>
      </c>
      <c r="D31" s="80"/>
      <c r="E31" s="81"/>
      <c r="F31" s="14">
        <v>2.2499999999999999E-2</v>
      </c>
      <c r="G31" s="16">
        <f>SUM(G12,G18,G25,G26)*F31</f>
        <v>38513.833424999997</v>
      </c>
      <c r="H31" s="16">
        <f>G31*1.2</f>
        <v>46216.600109999992</v>
      </c>
      <c r="J31" s="55">
        <f>SUM(J12,J18,J25,J26)*F31</f>
        <v>5786.2192499999992</v>
      </c>
      <c r="K31" s="55">
        <f>J31*1.2</f>
        <v>6943.463099999999</v>
      </c>
      <c r="M31" s="15">
        <f>H31/$G$2*$G$4</f>
        <v>0</v>
      </c>
      <c r="O31" s="63">
        <f>K31/$G$2*$G$4</f>
        <v>0</v>
      </c>
    </row>
    <row r="32" spans="2:15" ht="18" customHeight="1" x14ac:dyDescent="0.25">
      <c r="B32" s="4" t="s">
        <v>10</v>
      </c>
      <c r="C32" s="79" t="s">
        <v>11</v>
      </c>
      <c r="D32" s="80"/>
      <c r="E32" s="81"/>
      <c r="F32" s="14">
        <v>7.4999999999999997E-2</v>
      </c>
      <c r="G32" s="17"/>
      <c r="H32" s="16">
        <f>SUM(H12,H18,H25,H26)*$F$32</f>
        <v>140349.45675000001</v>
      </c>
      <c r="J32" s="17"/>
      <c r="K32" s="56">
        <f>SUM(K12,K18,K25,K26)*$F$32</f>
        <v>20348.2035</v>
      </c>
      <c r="M32" s="15">
        <f t="shared" ref="M32:M35" si="1">H32/$G$2*$G$4</f>
        <v>0</v>
      </c>
      <c r="O32" s="62">
        <f t="shared" ref="O32:O35" si="2">K32/$G$2*$G$4</f>
        <v>0</v>
      </c>
    </row>
    <row r="33" spans="2:15" ht="18" customHeight="1" x14ac:dyDescent="0.25">
      <c r="B33" s="4" t="s">
        <v>12</v>
      </c>
      <c r="C33" s="79" t="s">
        <v>13</v>
      </c>
      <c r="D33" s="80"/>
      <c r="E33" s="81"/>
      <c r="F33" s="11"/>
      <c r="G33" s="16">
        <v>14370</v>
      </c>
      <c r="H33" s="16">
        <f t="shared" ref="H33:H34" si="3">G33*1.2</f>
        <v>17244</v>
      </c>
      <c r="J33" s="56">
        <v>0</v>
      </c>
      <c r="K33" s="56">
        <v>0</v>
      </c>
      <c r="M33" s="15">
        <f t="shared" si="1"/>
        <v>0</v>
      </c>
      <c r="O33" s="62">
        <f t="shared" si="2"/>
        <v>0</v>
      </c>
    </row>
    <row r="34" spans="2:15" ht="18" customHeight="1" x14ac:dyDescent="0.25">
      <c r="B34" s="4" t="s">
        <v>14</v>
      </c>
      <c r="C34" s="79" t="s">
        <v>13</v>
      </c>
      <c r="D34" s="80"/>
      <c r="E34" s="81"/>
      <c r="F34" s="11"/>
      <c r="G34" s="16">
        <v>18000</v>
      </c>
      <c r="H34" s="16">
        <f t="shared" si="3"/>
        <v>21600</v>
      </c>
      <c r="J34" s="56">
        <v>0</v>
      </c>
      <c r="K34" s="56">
        <v>0</v>
      </c>
      <c r="M34" s="15">
        <f t="shared" si="1"/>
        <v>0</v>
      </c>
      <c r="O34" s="62">
        <f t="shared" si="2"/>
        <v>0</v>
      </c>
    </row>
    <row r="35" spans="2:15" ht="18" customHeight="1" x14ac:dyDescent="0.25">
      <c r="B35" s="1" t="s">
        <v>15</v>
      </c>
      <c r="C35" s="79" t="s">
        <v>44</v>
      </c>
      <c r="D35" s="80"/>
      <c r="E35" s="81"/>
      <c r="F35" s="14">
        <v>1.8599999999999998E-2</v>
      </c>
      <c r="G35" s="17"/>
      <c r="H35" s="16">
        <f>SUM(H12,H18,H25,H26)*$F$35</f>
        <v>34806.665273999999</v>
      </c>
      <c r="J35" s="17"/>
      <c r="K35" s="56">
        <f>SUM(K12,K18,K25,K26)*$F$35</f>
        <v>5046.3544679999995</v>
      </c>
      <c r="M35" s="15">
        <f t="shared" si="1"/>
        <v>0</v>
      </c>
      <c r="O35" s="62">
        <f t="shared" si="2"/>
        <v>0</v>
      </c>
    </row>
    <row r="37" spans="2:15" x14ac:dyDescent="0.25">
      <c r="E37" s="10"/>
    </row>
    <row r="38" spans="2:15" x14ac:dyDescent="0.25">
      <c r="E38" s="10"/>
    </row>
    <row r="39" spans="2:15" x14ac:dyDescent="0.25">
      <c r="E39" s="10"/>
      <c r="J39" s="77" t="s">
        <v>107</v>
      </c>
      <c r="K39" s="78"/>
    </row>
    <row r="40" spans="2:15" ht="27.95" customHeight="1" x14ac:dyDescent="0.25">
      <c r="B40" s="24" t="s">
        <v>124</v>
      </c>
      <c r="C40" s="2" t="s">
        <v>19</v>
      </c>
      <c r="E40" s="2" t="s">
        <v>26</v>
      </c>
      <c r="F40" s="37" t="s">
        <v>33</v>
      </c>
      <c r="G40" s="13" t="s">
        <v>2</v>
      </c>
      <c r="H40" s="2" t="s">
        <v>36</v>
      </c>
      <c r="J40" s="54" t="s">
        <v>2</v>
      </c>
      <c r="K40" s="54" t="s">
        <v>36</v>
      </c>
      <c r="M40" s="20" t="s">
        <v>42</v>
      </c>
      <c r="O40" s="54" t="s">
        <v>110</v>
      </c>
    </row>
    <row r="41" spans="2:15" ht="18" customHeight="1" thickBot="1" x14ac:dyDescent="0.3">
      <c r="B41" s="97" t="s">
        <v>125</v>
      </c>
      <c r="C41" s="69"/>
      <c r="D41" s="70"/>
      <c r="E41" s="71"/>
      <c r="F41" s="76"/>
      <c r="G41" s="72"/>
      <c r="H41" s="73"/>
      <c r="J41" s="98"/>
      <c r="K41" s="98"/>
      <c r="M41" s="28"/>
      <c r="O41" s="99"/>
    </row>
    <row r="42" spans="2:15" ht="18" customHeight="1" thickTop="1" thickBot="1" x14ac:dyDescent="0.3">
      <c r="B42" s="1" t="s">
        <v>126</v>
      </c>
      <c r="C42" s="3" t="s">
        <v>3</v>
      </c>
      <c r="E42" s="36">
        <v>2895</v>
      </c>
      <c r="F42" s="38"/>
      <c r="G42" s="7">
        <f>E42*F42</f>
        <v>0</v>
      </c>
      <c r="H42" s="8">
        <f>G42*1.1</f>
        <v>0</v>
      </c>
      <c r="J42" s="55">
        <v>0</v>
      </c>
      <c r="K42" s="55">
        <v>0</v>
      </c>
      <c r="M42" s="15">
        <f>H42</f>
        <v>0</v>
      </c>
      <c r="O42" s="63">
        <f>K42</f>
        <v>0</v>
      </c>
    </row>
    <row r="43" spans="2:15" ht="18" customHeight="1" thickTop="1" x14ac:dyDescent="0.25">
      <c r="B43" s="68"/>
      <c r="C43" s="69"/>
      <c r="D43" s="70"/>
      <c r="E43" s="71"/>
      <c r="F43" s="75"/>
      <c r="G43" s="72"/>
      <c r="H43" s="73"/>
      <c r="J43" s="73"/>
      <c r="K43" s="73"/>
      <c r="M43" s="28"/>
      <c r="O43" s="74"/>
    </row>
    <row r="44" spans="2:15" ht="18" customHeight="1" thickBot="1" x14ac:dyDescent="0.3">
      <c r="B44" s="97" t="s">
        <v>127</v>
      </c>
      <c r="C44" s="69"/>
      <c r="D44" s="70"/>
      <c r="E44" s="71"/>
      <c r="F44" s="76"/>
      <c r="G44" s="72"/>
      <c r="H44" s="73"/>
      <c r="J44" s="73"/>
      <c r="K44" s="73"/>
      <c r="M44" s="28"/>
      <c r="O44" s="74"/>
    </row>
    <row r="45" spans="2:15" ht="18" customHeight="1" thickTop="1" thickBot="1" x14ac:dyDescent="0.3">
      <c r="B45" s="1" t="s">
        <v>31</v>
      </c>
      <c r="C45" s="3" t="s">
        <v>4</v>
      </c>
      <c r="E45" s="36">
        <f>836.8</f>
        <v>836.8</v>
      </c>
      <c r="F45" s="38"/>
      <c r="G45" s="7">
        <f t="shared" ref="G45:G46" si="4">E45*F45</f>
        <v>0</v>
      </c>
      <c r="H45" s="8">
        <f t="shared" ref="H45:H46" si="5">G45*1.1</f>
        <v>0</v>
      </c>
      <c r="J45" s="56">
        <v>0</v>
      </c>
      <c r="K45" s="56">
        <v>0</v>
      </c>
      <c r="M45" s="15">
        <f t="shared" ref="M45:M46" si="6">H45</f>
        <v>0</v>
      </c>
      <c r="O45" s="62">
        <f t="shared" ref="O45" si="7">K45</f>
        <v>0</v>
      </c>
    </row>
    <row r="46" spans="2:15" ht="18" customHeight="1" thickTop="1" thickBot="1" x14ac:dyDescent="0.3">
      <c r="B46" s="1" t="s">
        <v>32</v>
      </c>
      <c r="C46" s="3" t="s">
        <v>4</v>
      </c>
      <c r="E46" s="36">
        <f>938.87</f>
        <v>938.87</v>
      </c>
      <c r="F46" s="38"/>
      <c r="G46" s="7">
        <f t="shared" si="4"/>
        <v>0</v>
      </c>
      <c r="H46" s="8">
        <f t="shared" si="5"/>
        <v>0</v>
      </c>
      <c r="J46" s="56">
        <v>0</v>
      </c>
      <c r="K46" s="56">
        <v>0</v>
      </c>
      <c r="M46" s="15">
        <f t="shared" si="6"/>
        <v>0</v>
      </c>
      <c r="O46" s="62">
        <f>K46</f>
        <v>0</v>
      </c>
    </row>
    <row r="47" spans="2:15" ht="30" customHeight="1" thickTop="1" x14ac:dyDescent="0.25"/>
    <row r="48" spans="2:15" ht="27.95" customHeight="1" x14ac:dyDescent="0.25">
      <c r="B48" s="24" t="s">
        <v>78</v>
      </c>
      <c r="H48" s="2" t="s">
        <v>76</v>
      </c>
      <c r="M48" s="20" t="s">
        <v>42</v>
      </c>
    </row>
    <row r="49" spans="2:15" ht="18" customHeight="1" x14ac:dyDescent="0.25">
      <c r="B49" s="1" t="s">
        <v>77</v>
      </c>
      <c r="H49" s="39">
        <v>0</v>
      </c>
      <c r="M49" s="40">
        <f>H49/$G$3*$G$4</f>
        <v>0</v>
      </c>
    </row>
    <row r="50" spans="2:15" ht="30" customHeight="1" x14ac:dyDescent="0.25"/>
    <row r="51" spans="2:15" ht="27.95" customHeight="1" x14ac:dyDescent="0.25">
      <c r="M51" s="31">
        <f>SUM(M12,M18,M25,M26,M31,M32,M33,M34,M35,M41,M42,M43,M44,M45,M46,M49)</f>
        <v>0</v>
      </c>
      <c r="O51" s="64">
        <f>SUM(O12,O18,O25,O26,O31,O32,O33,O34,O35,O41,O42,O43,O44,O45,O46)</f>
        <v>0</v>
      </c>
    </row>
    <row r="53" spans="2:15" ht="27.95" customHeight="1" x14ac:dyDescent="0.25">
      <c r="H53" s="66" t="s">
        <v>111</v>
      </c>
      <c r="J53" s="30"/>
      <c r="M53" s="67">
        <f>+M51-O51</f>
        <v>0</v>
      </c>
    </row>
  </sheetData>
  <sheetProtection algorithmName="SHA-512" hashValue="7Qf5QZNRLMnaH7z1d5BnKEl0CPtc+DHa1XcGGCqg5FWlaTJaokCHK3g7UvD/OPccqJXxBvEwDU2k/h+NFn2SGQ==" saltValue="Tm7yVHqXIX5xDXf6aGcQsQ==" spinCount="100000" sheet="1" objects="1" scenarios="1"/>
  <mergeCells count="24">
    <mergeCell ref="E4:F4"/>
    <mergeCell ref="E25:F25"/>
    <mergeCell ref="C7:F7"/>
    <mergeCell ref="C8:F8"/>
    <mergeCell ref="C9:F9"/>
    <mergeCell ref="C10:F10"/>
    <mergeCell ref="C11:F11"/>
    <mergeCell ref="B12:F12"/>
    <mergeCell ref="C17:F17"/>
    <mergeCell ref="C18:F18"/>
    <mergeCell ref="C23:F23"/>
    <mergeCell ref="C24:F24"/>
    <mergeCell ref="C34:E34"/>
    <mergeCell ref="C35:E35"/>
    <mergeCell ref="C26:F26"/>
    <mergeCell ref="C30:E30"/>
    <mergeCell ref="C31:E31"/>
    <mergeCell ref="C32:E32"/>
    <mergeCell ref="C33:E33"/>
    <mergeCell ref="J6:K6"/>
    <mergeCell ref="J16:K16"/>
    <mergeCell ref="J22:K22"/>
    <mergeCell ref="J29:K29"/>
    <mergeCell ref="J39:K39"/>
  </mergeCells>
  <pageMargins left="0.7" right="0.7" top="0.75" bottom="0.75" header="0.3" footer="0.3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513CB4-6AE6-4B94-A1A6-93DC0E76104E}">
  <sheetPr>
    <tabColor rgb="FF00B050"/>
  </sheetPr>
  <dimension ref="B1:O53"/>
  <sheetViews>
    <sheetView showGridLines="0" zoomScaleNormal="100" workbookViewId="0">
      <selection activeCell="E47" sqref="E47"/>
    </sheetView>
  </sheetViews>
  <sheetFormatPr baseColWidth="10" defaultRowHeight="15" x14ac:dyDescent="0.25"/>
  <cols>
    <col min="1" max="1" width="2.7109375" style="9" customWidth="1"/>
    <col min="2" max="2" width="68.140625" style="9" bestFit="1" customWidth="1"/>
    <col min="3" max="3" width="17.85546875" style="9" customWidth="1"/>
    <col min="4" max="4" width="23.140625" style="9" hidden="1" customWidth="1"/>
    <col min="5" max="5" width="18.140625" style="9" bestFit="1" customWidth="1"/>
    <col min="6" max="6" width="13.28515625" style="9" customWidth="1"/>
    <col min="7" max="8" width="20.7109375" style="9" customWidth="1"/>
    <col min="9" max="9" width="2.7109375" style="9" customWidth="1"/>
    <col min="10" max="11" width="20.7109375" style="9" customWidth="1"/>
    <col min="12" max="12" width="2.7109375" style="9" customWidth="1"/>
    <col min="13" max="13" width="20.7109375" style="9" customWidth="1"/>
    <col min="14" max="14" width="2.7109375" style="9" customWidth="1"/>
    <col min="15" max="15" width="20.7109375" style="9" customWidth="1"/>
    <col min="16" max="20" width="15" style="9" bestFit="1" customWidth="1"/>
    <col min="21" max="21" width="15.140625" style="9" customWidth="1"/>
    <col min="22" max="16384" width="11.42578125" style="9"/>
  </cols>
  <sheetData>
    <row r="1" spans="2:15" ht="30" customHeight="1" x14ac:dyDescent="0.25">
      <c r="B1" s="22" t="s">
        <v>49</v>
      </c>
    </row>
    <row r="2" spans="2:15" ht="18" customHeight="1" x14ac:dyDescent="0.25">
      <c r="E2" s="18" t="s">
        <v>39</v>
      </c>
      <c r="F2" s="19"/>
      <c r="G2" s="29">
        <v>100718</v>
      </c>
    </row>
    <row r="3" spans="2:15" ht="18" customHeight="1" thickBot="1" x14ac:dyDescent="0.3">
      <c r="E3" s="18" t="s">
        <v>105</v>
      </c>
      <c r="F3" s="19"/>
      <c r="G3" s="32">
        <v>10133</v>
      </c>
    </row>
    <row r="4" spans="2:15" ht="18" customHeight="1" thickTop="1" thickBot="1" x14ac:dyDescent="0.3">
      <c r="E4" s="85" t="s">
        <v>48</v>
      </c>
      <c r="F4" s="86"/>
      <c r="G4" s="33"/>
    </row>
    <row r="5" spans="2:15" ht="20.100000000000001" customHeight="1" thickTop="1" x14ac:dyDescent="0.25">
      <c r="B5" s="23" t="s">
        <v>22</v>
      </c>
    </row>
    <row r="6" spans="2:15" x14ac:dyDescent="0.25">
      <c r="J6" s="77" t="s">
        <v>107</v>
      </c>
      <c r="K6" s="78"/>
    </row>
    <row r="7" spans="2:15" ht="27.95" customHeight="1" x14ac:dyDescent="0.25">
      <c r="B7" s="24" t="s">
        <v>20</v>
      </c>
      <c r="C7" s="82" t="s">
        <v>17</v>
      </c>
      <c r="D7" s="83"/>
      <c r="E7" s="83"/>
      <c r="F7" s="84"/>
      <c r="G7" s="13" t="s">
        <v>2</v>
      </c>
      <c r="H7" s="2" t="s">
        <v>36</v>
      </c>
      <c r="J7" s="54" t="s">
        <v>2</v>
      </c>
      <c r="K7" s="54" t="s">
        <v>36</v>
      </c>
      <c r="M7" s="20" t="s">
        <v>42</v>
      </c>
      <c r="O7" s="54" t="s">
        <v>110</v>
      </c>
    </row>
    <row r="8" spans="2:15" ht="18" customHeight="1" x14ac:dyDescent="0.25">
      <c r="B8" s="4" t="s">
        <v>1</v>
      </c>
      <c r="C8" s="79" t="s">
        <v>3</v>
      </c>
      <c r="D8" s="80"/>
      <c r="E8" s="80"/>
      <c r="F8" s="81"/>
      <c r="G8" s="6">
        <v>1666050.85</v>
      </c>
      <c r="H8" s="6">
        <v>1781287.4</v>
      </c>
      <c r="J8" s="55">
        <f>253350+888173</f>
        <v>1141523</v>
      </c>
      <c r="K8" s="55">
        <f>267284.25+937022.52</f>
        <v>1204306.77</v>
      </c>
      <c r="M8" s="6">
        <f t="shared" ref="M8:M11" si="0">H8/$G$2*$G$4</f>
        <v>0</v>
      </c>
      <c r="O8" s="55">
        <f>K8/$G$2*$G$4</f>
        <v>0</v>
      </c>
    </row>
    <row r="9" spans="2:15" ht="18" customHeight="1" x14ac:dyDescent="0.25">
      <c r="B9" s="1" t="s">
        <v>0</v>
      </c>
      <c r="C9" s="79" t="s">
        <v>4</v>
      </c>
      <c r="D9" s="80"/>
      <c r="E9" s="80"/>
      <c r="F9" s="81"/>
      <c r="G9" s="8">
        <v>132572.78</v>
      </c>
      <c r="H9" s="8">
        <v>140684.81</v>
      </c>
      <c r="J9" s="56">
        <f>5241.49+7289.14+101808.27</f>
        <v>114338.90000000001</v>
      </c>
      <c r="K9" s="56">
        <f>5529.77+7690.04+107407.72</f>
        <v>120627.53</v>
      </c>
      <c r="M9" s="8">
        <f t="shared" si="0"/>
        <v>0</v>
      </c>
      <c r="O9" s="56">
        <f>K9/$G$2*$G$4</f>
        <v>0</v>
      </c>
    </row>
    <row r="10" spans="2:15" ht="18" customHeight="1" x14ac:dyDescent="0.25">
      <c r="B10" s="5" t="s">
        <v>16</v>
      </c>
      <c r="C10" s="79" t="s">
        <v>5</v>
      </c>
      <c r="D10" s="80"/>
      <c r="E10" s="80"/>
      <c r="F10" s="81"/>
      <c r="G10" s="8">
        <v>136823.4</v>
      </c>
      <c r="H10" s="8">
        <v>150505.74000000002</v>
      </c>
      <c r="J10" s="56">
        <v>0</v>
      </c>
      <c r="K10" s="56">
        <v>0</v>
      </c>
      <c r="M10" s="8">
        <f t="shared" si="0"/>
        <v>0</v>
      </c>
      <c r="O10" s="56">
        <f>K10/$G$2*$G$4</f>
        <v>0</v>
      </c>
    </row>
    <row r="11" spans="2:15" ht="18" customHeight="1" x14ac:dyDescent="0.25">
      <c r="B11" s="5" t="s">
        <v>6</v>
      </c>
      <c r="C11" s="79" t="s">
        <v>7</v>
      </c>
      <c r="D11" s="80"/>
      <c r="E11" s="80"/>
      <c r="F11" s="81"/>
      <c r="G11" s="8">
        <v>142826.4</v>
      </c>
      <c r="H11" s="8">
        <v>150681.85</v>
      </c>
      <c r="J11" s="56">
        <v>142826.4</v>
      </c>
      <c r="K11" s="56">
        <v>150681.85</v>
      </c>
      <c r="M11" s="8">
        <f t="shared" si="0"/>
        <v>0</v>
      </c>
      <c r="O11" s="56">
        <f>K11/$G$2*$G$4</f>
        <v>0</v>
      </c>
    </row>
    <row r="12" spans="2:15" ht="24.95" customHeight="1" x14ac:dyDescent="0.25">
      <c r="B12" s="89" t="s">
        <v>43</v>
      </c>
      <c r="C12" s="90"/>
      <c r="D12" s="90"/>
      <c r="E12" s="90"/>
      <c r="F12" s="91"/>
      <c r="G12" s="15">
        <f>SUM(G8:G11)</f>
        <v>2078273.43</v>
      </c>
      <c r="H12" s="15">
        <f>SUM(H8:H11)</f>
        <v>2223159.7999999998</v>
      </c>
      <c r="J12" s="57">
        <f>SUM(J8:J11)</f>
        <v>1398688.2999999998</v>
      </c>
      <c r="K12" s="57">
        <f>SUM(K8:K11)</f>
        <v>1475616.1500000001</v>
      </c>
      <c r="M12" s="15">
        <f>H12/$G$2*$G$4</f>
        <v>0</v>
      </c>
      <c r="O12" s="57">
        <f>K12/$G$2*$G$4</f>
        <v>0</v>
      </c>
    </row>
    <row r="13" spans="2:15" ht="15" customHeight="1" x14ac:dyDescent="0.25"/>
    <row r="14" spans="2:15" ht="15" customHeight="1" thickBot="1" x14ac:dyDescent="0.3">
      <c r="K14" s="58" t="s">
        <v>108</v>
      </c>
      <c r="L14" s="59"/>
      <c r="M14" s="61">
        <f>SUM(M8:M11)</f>
        <v>0</v>
      </c>
      <c r="O14" s="61">
        <f>SUM(O8:O11)</f>
        <v>0</v>
      </c>
    </row>
    <row r="15" spans="2:15" ht="20.100000000000001" customHeight="1" thickTop="1" thickBot="1" x14ac:dyDescent="0.3">
      <c r="B15" s="23" t="s">
        <v>23</v>
      </c>
      <c r="C15" s="21" t="s">
        <v>45</v>
      </c>
      <c r="D15" s="34"/>
      <c r="E15" s="35"/>
    </row>
    <row r="16" spans="2:15" ht="15" customHeight="1" thickTop="1" x14ac:dyDescent="0.25">
      <c r="J16" s="77" t="s">
        <v>107</v>
      </c>
      <c r="K16" s="78"/>
    </row>
    <row r="17" spans="2:15" ht="27.95" customHeight="1" x14ac:dyDescent="0.25">
      <c r="B17" s="24" t="s">
        <v>24</v>
      </c>
      <c r="C17" s="82" t="s">
        <v>17</v>
      </c>
      <c r="D17" s="83"/>
      <c r="E17" s="83"/>
      <c r="F17" s="84"/>
      <c r="G17" s="13" t="s">
        <v>2</v>
      </c>
      <c r="H17" s="2" t="s">
        <v>36</v>
      </c>
      <c r="J17" s="54" t="s">
        <v>2</v>
      </c>
      <c r="K17" s="54" t="s">
        <v>36</v>
      </c>
      <c r="M17" s="20" t="s">
        <v>42</v>
      </c>
      <c r="O17" s="54" t="s">
        <v>110</v>
      </c>
    </row>
    <row r="18" spans="2:15" ht="18" customHeight="1" x14ac:dyDescent="0.25">
      <c r="B18" s="1" t="s">
        <v>21</v>
      </c>
      <c r="C18" s="79" t="s">
        <v>3</v>
      </c>
      <c r="D18" s="80"/>
      <c r="E18" s="80"/>
      <c r="F18" s="81"/>
      <c r="G18" s="8">
        <f>IF($E$15=1,0,0)</f>
        <v>0</v>
      </c>
      <c r="H18" s="8">
        <f>IF($E$15=1,0,0)</f>
        <v>0</v>
      </c>
      <c r="J18" s="56">
        <v>0</v>
      </c>
      <c r="K18" s="56">
        <v>0</v>
      </c>
      <c r="M18" s="15">
        <f>H18/$G$2*$G$4</f>
        <v>0</v>
      </c>
      <c r="O18" s="62">
        <f>K18/$G$2*$G$4</f>
        <v>0</v>
      </c>
    </row>
    <row r="20" spans="2:15" ht="15.75" thickBot="1" x14ac:dyDescent="0.3"/>
    <row r="21" spans="2:15" ht="20.100000000000001" customHeight="1" thickTop="1" thickBot="1" x14ac:dyDescent="0.3">
      <c r="B21" s="23" t="s">
        <v>38</v>
      </c>
      <c r="C21" s="21" t="s">
        <v>45</v>
      </c>
      <c r="D21" s="34"/>
      <c r="E21" s="35"/>
    </row>
    <row r="22" spans="2:15" ht="15.75" thickTop="1" x14ac:dyDescent="0.25">
      <c r="J22" s="77" t="s">
        <v>107</v>
      </c>
      <c r="K22" s="78"/>
    </row>
    <row r="23" spans="2:15" ht="27.95" customHeight="1" x14ac:dyDescent="0.25">
      <c r="B23" s="24" t="s">
        <v>25</v>
      </c>
      <c r="C23" s="82" t="s">
        <v>17</v>
      </c>
      <c r="D23" s="83"/>
      <c r="E23" s="83"/>
      <c r="F23" s="84"/>
      <c r="G23" s="13" t="s">
        <v>2</v>
      </c>
      <c r="H23" s="2" t="s">
        <v>36</v>
      </c>
      <c r="J23" s="54" t="s">
        <v>2</v>
      </c>
      <c r="K23" s="54" t="s">
        <v>36</v>
      </c>
      <c r="M23" s="20" t="s">
        <v>42</v>
      </c>
      <c r="O23" s="54" t="s">
        <v>110</v>
      </c>
    </row>
    <row r="24" spans="2:15" ht="18" customHeight="1" x14ac:dyDescent="0.25">
      <c r="B24" s="4" t="s">
        <v>18</v>
      </c>
      <c r="C24" s="92" t="s">
        <v>5</v>
      </c>
      <c r="D24" s="93"/>
      <c r="E24" s="93"/>
      <c r="F24" s="94"/>
      <c r="G24" s="27">
        <v>609465.55000000005</v>
      </c>
      <c r="H24" s="27">
        <v>650922.6</v>
      </c>
      <c r="J24" s="60">
        <f>126338.88+48932.48+81608+77503.36+44761.5+17287.2+1398.6+28012.6+7257.6</f>
        <v>433100.22</v>
      </c>
      <c r="K24" s="60">
        <f>+J24*1.055</f>
        <v>456920.73209999996</v>
      </c>
    </row>
    <row r="25" spans="2:15" ht="18" customHeight="1" x14ac:dyDescent="0.25">
      <c r="B25" s="5"/>
      <c r="C25" s="25"/>
      <c r="D25" s="26"/>
      <c r="E25" s="87" t="s">
        <v>106</v>
      </c>
      <c r="F25" s="88"/>
      <c r="G25" s="8">
        <f>IF($E$21=1,70054.14,0)</f>
        <v>0</v>
      </c>
      <c r="H25" s="8">
        <f>IF($E$21=1,74833.14,0)</f>
        <v>0</v>
      </c>
      <c r="J25" s="56">
        <f>IF($E$21=1,35438.12,0)</f>
        <v>0</v>
      </c>
      <c r="K25" s="56">
        <f>+J25*1.055</f>
        <v>0</v>
      </c>
      <c r="M25" s="15">
        <f>H25/$G$3*$G$4</f>
        <v>0</v>
      </c>
      <c r="O25" s="57">
        <f>K25/$G$3*$G$4</f>
        <v>0</v>
      </c>
    </row>
    <row r="26" spans="2:15" ht="18" customHeight="1" x14ac:dyDescent="0.25">
      <c r="B26" s="1" t="s">
        <v>37</v>
      </c>
      <c r="C26" s="79" t="s">
        <v>4</v>
      </c>
      <c r="D26" s="80"/>
      <c r="E26" s="80"/>
      <c r="F26" s="80"/>
      <c r="G26" s="12"/>
      <c r="H26" s="12"/>
      <c r="J26" s="12"/>
      <c r="K26" s="12"/>
      <c r="M26" s="28">
        <f>H26/$G$3*$G$4</f>
        <v>0</v>
      </c>
      <c r="O26" s="28">
        <f>J26/$G$3*$G$4</f>
        <v>0</v>
      </c>
    </row>
    <row r="29" spans="2:15" x14ac:dyDescent="0.25">
      <c r="J29" s="77" t="s">
        <v>109</v>
      </c>
      <c r="K29" s="78"/>
    </row>
    <row r="30" spans="2:15" ht="27.95" customHeight="1" x14ac:dyDescent="0.25">
      <c r="B30" s="24" t="s">
        <v>40</v>
      </c>
      <c r="C30" s="82" t="s">
        <v>34</v>
      </c>
      <c r="D30" s="83"/>
      <c r="E30" s="84"/>
      <c r="F30" s="2" t="s">
        <v>35</v>
      </c>
      <c r="G30" s="13" t="s">
        <v>2</v>
      </c>
      <c r="H30" s="2" t="s">
        <v>36</v>
      </c>
      <c r="J30" s="54" t="s">
        <v>2</v>
      </c>
      <c r="K30" s="54" t="s">
        <v>36</v>
      </c>
      <c r="M30" s="20" t="s">
        <v>42</v>
      </c>
      <c r="O30" s="54" t="s">
        <v>110</v>
      </c>
    </row>
    <row r="31" spans="2:15" ht="18" customHeight="1" x14ac:dyDescent="0.25">
      <c r="B31" s="4" t="s">
        <v>8</v>
      </c>
      <c r="C31" s="79" t="s">
        <v>9</v>
      </c>
      <c r="D31" s="80"/>
      <c r="E31" s="81"/>
      <c r="F31" s="14">
        <v>2.2499999999999999E-2</v>
      </c>
      <c r="G31" s="16">
        <f>SUM(G12,G18,G25,G26)*F31</f>
        <v>46761.152174999996</v>
      </c>
      <c r="H31" s="16">
        <f>G31*1.2</f>
        <v>56113.382609999993</v>
      </c>
      <c r="J31" s="55">
        <f>SUM(J12,J18,J25,J26)*F31</f>
        <v>31470.486749999996</v>
      </c>
      <c r="K31" s="55">
        <f>J31*1.2</f>
        <v>37764.584099999993</v>
      </c>
      <c r="M31" s="15">
        <f>H31/$G$2*$G$4</f>
        <v>0</v>
      </c>
      <c r="O31" s="63">
        <f>K31/$G$2*$G$4</f>
        <v>0</v>
      </c>
    </row>
    <row r="32" spans="2:15" ht="18" customHeight="1" x14ac:dyDescent="0.25">
      <c r="B32" s="4" t="s">
        <v>10</v>
      </c>
      <c r="C32" s="79" t="s">
        <v>11</v>
      </c>
      <c r="D32" s="80"/>
      <c r="E32" s="81"/>
      <c r="F32" s="14">
        <v>7.4999999999999997E-2</v>
      </c>
      <c r="G32" s="17"/>
      <c r="H32" s="16">
        <f>SUM(H12,H18,H25,H26)*$F$32</f>
        <v>166736.98499999999</v>
      </c>
      <c r="J32" s="17"/>
      <c r="K32" s="56">
        <f>SUM(K12,K18,K25,K26)*$F$32</f>
        <v>110671.21125000001</v>
      </c>
      <c r="M32" s="15">
        <f t="shared" ref="M32:M35" si="1">H32/$G$2*$G$4</f>
        <v>0</v>
      </c>
      <c r="O32" s="62">
        <f t="shared" ref="O32:O35" si="2">K32/$G$2*$G$4</f>
        <v>0</v>
      </c>
    </row>
    <row r="33" spans="2:15" ht="18" customHeight="1" x14ac:dyDescent="0.25">
      <c r="B33" s="4" t="s">
        <v>12</v>
      </c>
      <c r="C33" s="79" t="s">
        <v>13</v>
      </c>
      <c r="D33" s="80"/>
      <c r="E33" s="81"/>
      <c r="F33" s="11"/>
      <c r="G33" s="16">
        <v>14370</v>
      </c>
      <c r="H33" s="16">
        <f t="shared" ref="H33:H34" si="3">G33*1.2</f>
        <v>17244</v>
      </c>
      <c r="J33" s="56">
        <v>0</v>
      </c>
      <c r="K33" s="56">
        <v>0</v>
      </c>
      <c r="M33" s="15">
        <f t="shared" si="1"/>
        <v>0</v>
      </c>
      <c r="O33" s="62">
        <f t="shared" si="2"/>
        <v>0</v>
      </c>
    </row>
    <row r="34" spans="2:15" ht="18" customHeight="1" x14ac:dyDescent="0.25">
      <c r="B34" s="4" t="s">
        <v>14</v>
      </c>
      <c r="C34" s="79" t="s">
        <v>13</v>
      </c>
      <c r="D34" s="80"/>
      <c r="E34" s="81"/>
      <c r="F34" s="11"/>
      <c r="G34" s="16">
        <v>18000</v>
      </c>
      <c r="H34" s="16">
        <f t="shared" si="3"/>
        <v>21600</v>
      </c>
      <c r="J34" s="56">
        <v>0</v>
      </c>
      <c r="K34" s="56">
        <v>0</v>
      </c>
      <c r="M34" s="15">
        <f t="shared" si="1"/>
        <v>0</v>
      </c>
      <c r="O34" s="62">
        <f t="shared" si="2"/>
        <v>0</v>
      </c>
    </row>
    <row r="35" spans="2:15" ht="18" customHeight="1" x14ac:dyDescent="0.25">
      <c r="B35" s="1" t="s">
        <v>15</v>
      </c>
      <c r="C35" s="79" t="s">
        <v>44</v>
      </c>
      <c r="D35" s="80"/>
      <c r="E35" s="81"/>
      <c r="F35" s="14">
        <v>1.8599999999999998E-2</v>
      </c>
      <c r="G35" s="17"/>
      <c r="H35" s="16">
        <f>SUM(H12,H18,H25,H26)*$F$35</f>
        <v>41350.77227999999</v>
      </c>
      <c r="J35" s="17"/>
      <c r="K35" s="56">
        <f>SUM(K12,K18,K25,K26)*$F$35</f>
        <v>27446.46039</v>
      </c>
      <c r="M35" s="15">
        <f t="shared" si="1"/>
        <v>0</v>
      </c>
      <c r="O35" s="62">
        <f t="shared" si="2"/>
        <v>0</v>
      </c>
    </row>
    <row r="37" spans="2:15" x14ac:dyDescent="0.25">
      <c r="E37" s="10"/>
    </row>
    <row r="38" spans="2:15" x14ac:dyDescent="0.25">
      <c r="E38" s="10"/>
    </row>
    <row r="39" spans="2:15" x14ac:dyDescent="0.25">
      <c r="E39" s="10"/>
      <c r="J39" s="77" t="s">
        <v>107</v>
      </c>
      <c r="K39" s="78"/>
    </row>
    <row r="40" spans="2:15" ht="27.95" customHeight="1" thickBot="1" x14ac:dyDescent="0.3">
      <c r="B40" s="24" t="s">
        <v>41</v>
      </c>
      <c r="C40" s="2" t="s">
        <v>19</v>
      </c>
      <c r="E40" s="2" t="s">
        <v>26</v>
      </c>
      <c r="F40" s="37" t="s">
        <v>33</v>
      </c>
      <c r="G40" s="13" t="s">
        <v>2</v>
      </c>
      <c r="H40" s="2" t="s">
        <v>36</v>
      </c>
      <c r="J40" s="54" t="s">
        <v>2</v>
      </c>
      <c r="K40" s="54" t="s">
        <v>36</v>
      </c>
      <c r="M40" s="20" t="s">
        <v>42</v>
      </c>
      <c r="O40" s="54" t="s">
        <v>110</v>
      </c>
    </row>
    <row r="41" spans="2:15" ht="18" customHeight="1" thickTop="1" thickBot="1" x14ac:dyDescent="0.3">
      <c r="B41" s="1" t="s">
        <v>27</v>
      </c>
      <c r="C41" s="3" t="s">
        <v>4</v>
      </c>
      <c r="E41" s="36">
        <f>702.64</f>
        <v>702.64</v>
      </c>
      <c r="F41" s="38"/>
      <c r="G41" s="7">
        <f>E41*F41</f>
        <v>0</v>
      </c>
      <c r="H41" s="8">
        <f>G41*1.1</f>
        <v>0</v>
      </c>
      <c r="J41" s="55">
        <v>0</v>
      </c>
      <c r="K41" s="55">
        <v>0</v>
      </c>
      <c r="M41" s="15">
        <f>H41</f>
        <v>0</v>
      </c>
      <c r="O41" s="63">
        <f>K41</f>
        <v>0</v>
      </c>
    </row>
    <row r="42" spans="2:15" ht="18" customHeight="1" thickTop="1" thickBot="1" x14ac:dyDescent="0.3">
      <c r="B42" s="1" t="s">
        <v>28</v>
      </c>
      <c r="C42" s="3" t="s">
        <v>4</v>
      </c>
      <c r="E42" s="36">
        <f>732.43</f>
        <v>732.43</v>
      </c>
      <c r="F42" s="38"/>
      <c r="G42" s="7">
        <f t="shared" ref="G42:G46" si="4">E42*F42</f>
        <v>0</v>
      </c>
      <c r="H42" s="8">
        <f t="shared" ref="H42:H46" si="5">G42*1.1</f>
        <v>0</v>
      </c>
      <c r="J42" s="56">
        <v>0</v>
      </c>
      <c r="K42" s="56">
        <v>0</v>
      </c>
      <c r="M42" s="15">
        <f t="shared" ref="M42:M46" si="6">H42</f>
        <v>0</v>
      </c>
      <c r="O42" s="62">
        <f t="shared" ref="O42:O45" si="7">K42</f>
        <v>0</v>
      </c>
    </row>
    <row r="43" spans="2:15" ht="18" customHeight="1" thickTop="1" thickBot="1" x14ac:dyDescent="0.3">
      <c r="B43" s="1" t="s">
        <v>29</v>
      </c>
      <c r="C43" s="3" t="s">
        <v>4</v>
      </c>
      <c r="E43" s="36">
        <f>552.84</f>
        <v>552.84</v>
      </c>
      <c r="F43" s="38"/>
      <c r="G43" s="7">
        <f t="shared" si="4"/>
        <v>0</v>
      </c>
      <c r="H43" s="8">
        <f t="shared" si="5"/>
        <v>0</v>
      </c>
      <c r="J43" s="56">
        <v>0</v>
      </c>
      <c r="K43" s="56">
        <v>0</v>
      </c>
      <c r="M43" s="15">
        <f t="shared" si="6"/>
        <v>0</v>
      </c>
      <c r="O43" s="62">
        <f t="shared" si="7"/>
        <v>0</v>
      </c>
    </row>
    <row r="44" spans="2:15" ht="18" customHeight="1" thickTop="1" thickBot="1" x14ac:dyDescent="0.3">
      <c r="B44" s="1" t="s">
        <v>30</v>
      </c>
      <c r="C44" s="3" t="s">
        <v>4</v>
      </c>
      <c r="E44" s="36">
        <f>585.47</f>
        <v>585.47</v>
      </c>
      <c r="F44" s="38"/>
      <c r="G44" s="7">
        <f t="shared" si="4"/>
        <v>0</v>
      </c>
      <c r="H44" s="8">
        <f t="shared" si="5"/>
        <v>0</v>
      </c>
      <c r="J44" s="56">
        <v>0</v>
      </c>
      <c r="K44" s="56">
        <v>0</v>
      </c>
      <c r="M44" s="15">
        <f t="shared" si="6"/>
        <v>0</v>
      </c>
      <c r="O44" s="62">
        <f t="shared" si="7"/>
        <v>0</v>
      </c>
    </row>
    <row r="45" spans="2:15" ht="18" customHeight="1" thickTop="1" thickBot="1" x14ac:dyDescent="0.3">
      <c r="B45" s="1" t="s">
        <v>31</v>
      </c>
      <c r="C45" s="3" t="s">
        <v>4</v>
      </c>
      <c r="E45" s="36">
        <f>836.8</f>
        <v>836.8</v>
      </c>
      <c r="F45" s="38"/>
      <c r="G45" s="7">
        <f t="shared" si="4"/>
        <v>0</v>
      </c>
      <c r="H45" s="8">
        <f t="shared" si="5"/>
        <v>0</v>
      </c>
      <c r="J45" s="56">
        <v>0</v>
      </c>
      <c r="K45" s="56">
        <v>0</v>
      </c>
      <c r="M45" s="15">
        <f t="shared" si="6"/>
        <v>0</v>
      </c>
      <c r="O45" s="62">
        <f t="shared" si="7"/>
        <v>0</v>
      </c>
    </row>
    <row r="46" spans="2:15" ht="18" customHeight="1" thickTop="1" thickBot="1" x14ac:dyDescent="0.3">
      <c r="B46" s="1" t="s">
        <v>32</v>
      </c>
      <c r="C46" s="3" t="s">
        <v>4</v>
      </c>
      <c r="E46" s="36">
        <f>938.87</f>
        <v>938.87</v>
      </c>
      <c r="F46" s="38"/>
      <c r="G46" s="7">
        <f t="shared" si="4"/>
        <v>0</v>
      </c>
      <c r="H46" s="8">
        <f t="shared" si="5"/>
        <v>0</v>
      </c>
      <c r="J46" s="56">
        <v>0</v>
      </c>
      <c r="K46" s="56">
        <v>0</v>
      </c>
      <c r="M46" s="15">
        <f t="shared" si="6"/>
        <v>0</v>
      </c>
      <c r="O46" s="62">
        <f>K46</f>
        <v>0</v>
      </c>
    </row>
    <row r="47" spans="2:15" ht="30" customHeight="1" thickTop="1" x14ac:dyDescent="0.25"/>
    <row r="48" spans="2:15" ht="27.95" customHeight="1" x14ac:dyDescent="0.25">
      <c r="B48" s="24" t="s">
        <v>78</v>
      </c>
      <c r="H48" s="2" t="s">
        <v>76</v>
      </c>
      <c r="M48" s="20" t="s">
        <v>42</v>
      </c>
    </row>
    <row r="49" spans="2:15" ht="18" customHeight="1" x14ac:dyDescent="0.25">
      <c r="B49" s="1" t="s">
        <v>77</v>
      </c>
      <c r="H49" s="39">
        <v>-7429</v>
      </c>
      <c r="M49" s="40">
        <f>H49/$G$3*$G$4</f>
        <v>0</v>
      </c>
    </row>
    <row r="50" spans="2:15" ht="30" customHeight="1" x14ac:dyDescent="0.25"/>
    <row r="51" spans="2:15" ht="27.95" customHeight="1" x14ac:dyDescent="0.25">
      <c r="M51" s="31">
        <f>SUM(M12,M18,M25,M26,M31,M32,M33,M34,M35,M41,M42,M43,M44,M45,M46,M49)</f>
        <v>0</v>
      </c>
      <c r="O51" s="64">
        <f>SUM(O12,O18,O25,O26,O31,O32,O33,O34,O35,O41,O42,O43,O44,O45,O46)</f>
        <v>0</v>
      </c>
    </row>
    <row r="53" spans="2:15" ht="27.95" customHeight="1" x14ac:dyDescent="0.25">
      <c r="H53" s="66" t="s">
        <v>111</v>
      </c>
      <c r="J53" s="30"/>
      <c r="M53" s="67">
        <f>+M51-O51</f>
        <v>0</v>
      </c>
    </row>
  </sheetData>
  <sheetProtection algorithmName="SHA-512" hashValue="HYwtpbvpK0tfXNpolOvWUO/iS3Pjzq7v+QdCvj1aR/+JVgfJFR84JwMXb+zqxW/Il8e6TprTZgczugjOfsZ6BQ==" saltValue="wXKxLaqDLkMdZNavSs79bw==" spinCount="100000" sheet="1" objects="1" scenarios="1"/>
  <mergeCells count="24">
    <mergeCell ref="C35:E35"/>
    <mergeCell ref="C26:F26"/>
    <mergeCell ref="C30:E30"/>
    <mergeCell ref="C31:E31"/>
    <mergeCell ref="C32:E32"/>
    <mergeCell ref="C33:E33"/>
    <mergeCell ref="C34:E34"/>
    <mergeCell ref="E25:F25"/>
    <mergeCell ref="E4:F4"/>
    <mergeCell ref="C7:F7"/>
    <mergeCell ref="C8:F8"/>
    <mergeCell ref="C9:F9"/>
    <mergeCell ref="C10:F10"/>
    <mergeCell ref="C11:F11"/>
    <mergeCell ref="B12:F12"/>
    <mergeCell ref="C17:F17"/>
    <mergeCell ref="C18:F18"/>
    <mergeCell ref="C23:F23"/>
    <mergeCell ref="C24:F24"/>
    <mergeCell ref="J6:K6"/>
    <mergeCell ref="J16:K16"/>
    <mergeCell ref="J22:K22"/>
    <mergeCell ref="J29:K29"/>
    <mergeCell ref="J39:K39"/>
  </mergeCells>
  <pageMargins left="0.7" right="0.7" top="0.75" bottom="0.75" header="0.3" footer="0.3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3FD2AB-D103-4642-8635-3DC75C7D2D95}">
  <sheetPr>
    <tabColor rgb="FF00B050"/>
  </sheetPr>
  <dimension ref="B1:O53"/>
  <sheetViews>
    <sheetView showGridLines="0" zoomScaleNormal="100" workbookViewId="0">
      <selection activeCell="E47" sqref="E47"/>
    </sheetView>
  </sheetViews>
  <sheetFormatPr baseColWidth="10" defaultRowHeight="15" x14ac:dyDescent="0.25"/>
  <cols>
    <col min="1" max="1" width="2.7109375" style="9" customWidth="1"/>
    <col min="2" max="2" width="68.140625" style="9" bestFit="1" customWidth="1"/>
    <col min="3" max="3" width="17.85546875" style="9" customWidth="1"/>
    <col min="4" max="4" width="23.140625" style="9" hidden="1" customWidth="1"/>
    <col min="5" max="5" width="18.140625" style="9" bestFit="1" customWidth="1"/>
    <col min="6" max="6" width="13.28515625" style="9" customWidth="1"/>
    <col min="7" max="8" width="20.7109375" style="9" customWidth="1"/>
    <col min="9" max="9" width="2.7109375" style="9" customWidth="1"/>
    <col min="10" max="11" width="20.7109375" style="9" customWidth="1"/>
    <col min="12" max="12" width="2.7109375" style="9" customWidth="1"/>
    <col min="13" max="13" width="20.7109375" style="9" customWidth="1"/>
    <col min="14" max="14" width="2.7109375" style="9" customWidth="1"/>
    <col min="15" max="15" width="20.7109375" style="9" customWidth="1"/>
    <col min="16" max="20" width="15" style="9" bestFit="1" customWidth="1"/>
    <col min="21" max="21" width="15.140625" style="9" customWidth="1"/>
    <col min="22" max="16384" width="11.42578125" style="9"/>
  </cols>
  <sheetData>
    <row r="1" spans="2:15" ht="30" customHeight="1" x14ac:dyDescent="0.25">
      <c r="B1" s="22" t="s">
        <v>50</v>
      </c>
    </row>
    <row r="2" spans="2:15" ht="18" customHeight="1" x14ac:dyDescent="0.25">
      <c r="E2" s="18" t="s">
        <v>39</v>
      </c>
      <c r="F2" s="19"/>
      <c r="G2" s="29">
        <v>100718</v>
      </c>
    </row>
    <row r="3" spans="2:15" ht="18" customHeight="1" thickBot="1" x14ac:dyDescent="0.3">
      <c r="E3" s="18" t="s">
        <v>105</v>
      </c>
      <c r="F3" s="19"/>
      <c r="G3" s="32">
        <v>10133</v>
      </c>
    </row>
    <row r="4" spans="2:15" ht="18" customHeight="1" thickTop="1" thickBot="1" x14ac:dyDescent="0.3">
      <c r="E4" s="85" t="s">
        <v>48</v>
      </c>
      <c r="F4" s="86"/>
      <c r="G4" s="33"/>
      <c r="K4" s="65"/>
    </row>
    <row r="5" spans="2:15" ht="20.100000000000001" customHeight="1" thickTop="1" x14ac:dyDescent="0.25">
      <c r="B5" s="23" t="s">
        <v>22</v>
      </c>
    </row>
    <row r="6" spans="2:15" x14ac:dyDescent="0.25">
      <c r="J6" s="77" t="s">
        <v>107</v>
      </c>
      <c r="K6" s="78"/>
    </row>
    <row r="7" spans="2:15" ht="27.95" customHeight="1" x14ac:dyDescent="0.25">
      <c r="B7" s="24" t="s">
        <v>20</v>
      </c>
      <c r="C7" s="82" t="s">
        <v>17</v>
      </c>
      <c r="D7" s="83"/>
      <c r="E7" s="83"/>
      <c r="F7" s="84"/>
      <c r="G7" s="13" t="s">
        <v>2</v>
      </c>
      <c r="H7" s="2" t="s">
        <v>36</v>
      </c>
      <c r="J7" s="54" t="s">
        <v>2</v>
      </c>
      <c r="K7" s="54" t="s">
        <v>36</v>
      </c>
      <c r="M7" s="20" t="s">
        <v>42</v>
      </c>
      <c r="O7" s="54" t="s">
        <v>110</v>
      </c>
    </row>
    <row r="8" spans="2:15" ht="18" customHeight="1" x14ac:dyDescent="0.25">
      <c r="B8" s="4" t="s">
        <v>1</v>
      </c>
      <c r="C8" s="79" t="s">
        <v>3</v>
      </c>
      <c r="D8" s="80"/>
      <c r="E8" s="80"/>
      <c r="F8" s="81"/>
      <c r="G8" s="6">
        <v>1819604.35</v>
      </c>
      <c r="H8" s="6">
        <v>1943286.34</v>
      </c>
      <c r="J8" s="55">
        <f>253350+1041726.5</f>
        <v>1295076.5</v>
      </c>
      <c r="K8" s="55">
        <f>267284.25+1099021.46</f>
        <v>1366305.71</v>
      </c>
      <c r="M8" s="6">
        <f t="shared" ref="M8:M11" si="0">H8/$G$2*$G$4</f>
        <v>0</v>
      </c>
      <c r="O8" s="55">
        <f>K8/$G$2*$G$4</f>
        <v>0</v>
      </c>
    </row>
    <row r="9" spans="2:15" ht="18" customHeight="1" x14ac:dyDescent="0.25">
      <c r="B9" s="1" t="s">
        <v>0</v>
      </c>
      <c r="C9" s="79" t="s">
        <v>4</v>
      </c>
      <c r="D9" s="80"/>
      <c r="E9" s="80"/>
      <c r="F9" s="81"/>
      <c r="G9" s="8">
        <v>132572.78</v>
      </c>
      <c r="H9" s="8">
        <v>140684.81</v>
      </c>
      <c r="J9" s="56">
        <f>5241.49+7289.14+101808.27</f>
        <v>114338.90000000001</v>
      </c>
      <c r="K9" s="56">
        <f>5529.77+7690.04+107407.72</f>
        <v>120627.53</v>
      </c>
      <c r="M9" s="8">
        <f t="shared" si="0"/>
        <v>0</v>
      </c>
      <c r="O9" s="56">
        <f>K9/$G$2*$G$4</f>
        <v>0</v>
      </c>
    </row>
    <row r="10" spans="2:15" ht="18" customHeight="1" x14ac:dyDescent="0.25">
      <c r="B10" s="5" t="s">
        <v>16</v>
      </c>
      <c r="C10" s="79" t="s">
        <v>5</v>
      </c>
      <c r="D10" s="80"/>
      <c r="E10" s="80"/>
      <c r="F10" s="81"/>
      <c r="G10" s="8">
        <v>136823.4</v>
      </c>
      <c r="H10" s="8">
        <v>150505.74000000002</v>
      </c>
      <c r="J10" s="56">
        <v>0</v>
      </c>
      <c r="K10" s="56">
        <v>0</v>
      </c>
      <c r="M10" s="8">
        <f t="shared" si="0"/>
        <v>0</v>
      </c>
      <c r="O10" s="56">
        <f>K10/$G$2*$G$4</f>
        <v>0</v>
      </c>
    </row>
    <row r="11" spans="2:15" ht="18" customHeight="1" x14ac:dyDescent="0.25">
      <c r="B11" s="5" t="s">
        <v>6</v>
      </c>
      <c r="C11" s="79" t="s">
        <v>7</v>
      </c>
      <c r="D11" s="80"/>
      <c r="E11" s="80"/>
      <c r="F11" s="81"/>
      <c r="G11" s="8">
        <v>142826.4</v>
      </c>
      <c r="H11" s="8">
        <v>150681.85</v>
      </c>
      <c r="J11" s="56">
        <v>142826.4</v>
      </c>
      <c r="K11" s="56">
        <v>150681.85</v>
      </c>
      <c r="M11" s="8">
        <f t="shared" si="0"/>
        <v>0</v>
      </c>
      <c r="O11" s="56">
        <f>K11/$G$2*$G$4</f>
        <v>0</v>
      </c>
    </row>
    <row r="12" spans="2:15" ht="24.95" customHeight="1" x14ac:dyDescent="0.25">
      <c r="B12" s="89" t="s">
        <v>43</v>
      </c>
      <c r="C12" s="90"/>
      <c r="D12" s="90"/>
      <c r="E12" s="90"/>
      <c r="F12" s="91"/>
      <c r="G12" s="15">
        <f>SUM(G8:G11)</f>
        <v>2231826.9300000002</v>
      </c>
      <c r="H12" s="15">
        <f>SUM(H8:H11)</f>
        <v>2385158.7400000002</v>
      </c>
      <c r="J12" s="57">
        <f>SUM(J8:J11)</f>
        <v>1552241.7999999998</v>
      </c>
      <c r="K12" s="57">
        <f>SUM(K8:K11)</f>
        <v>1637615.09</v>
      </c>
      <c r="M12" s="15">
        <f>H12/$G$2*$G$4</f>
        <v>0</v>
      </c>
      <c r="O12" s="57">
        <f>K12/$G$2*$G$4</f>
        <v>0</v>
      </c>
    </row>
    <row r="13" spans="2:15" ht="15" customHeight="1" x14ac:dyDescent="0.25"/>
    <row r="14" spans="2:15" ht="15" customHeight="1" thickBot="1" x14ac:dyDescent="0.3">
      <c r="K14" s="58" t="s">
        <v>108</v>
      </c>
      <c r="L14" s="59"/>
      <c r="M14" s="61">
        <f>SUM(M8:M11)</f>
        <v>0</v>
      </c>
      <c r="O14" s="61">
        <f>SUM(O8:O11)</f>
        <v>0</v>
      </c>
    </row>
    <row r="15" spans="2:15" ht="20.100000000000001" customHeight="1" thickTop="1" thickBot="1" x14ac:dyDescent="0.3">
      <c r="B15" s="23" t="s">
        <v>23</v>
      </c>
      <c r="C15" s="21" t="s">
        <v>45</v>
      </c>
      <c r="D15" s="34"/>
      <c r="E15" s="35"/>
    </row>
    <row r="16" spans="2:15" ht="15" customHeight="1" thickTop="1" x14ac:dyDescent="0.25">
      <c r="J16" s="77" t="s">
        <v>107</v>
      </c>
      <c r="K16" s="78"/>
    </row>
    <row r="17" spans="2:15" ht="27.95" customHeight="1" x14ac:dyDescent="0.25">
      <c r="B17" s="24" t="s">
        <v>24</v>
      </c>
      <c r="C17" s="82" t="s">
        <v>17</v>
      </c>
      <c r="D17" s="83"/>
      <c r="E17" s="83"/>
      <c r="F17" s="84"/>
      <c r="G17" s="13" t="s">
        <v>2</v>
      </c>
      <c r="H17" s="2" t="s">
        <v>36</v>
      </c>
      <c r="J17" s="54" t="s">
        <v>2</v>
      </c>
      <c r="K17" s="54" t="s">
        <v>36</v>
      </c>
      <c r="M17" s="20" t="s">
        <v>42</v>
      </c>
      <c r="O17" s="54" t="s">
        <v>110</v>
      </c>
    </row>
    <row r="18" spans="2:15" ht="18" customHeight="1" x14ac:dyDescent="0.25">
      <c r="B18" s="1" t="s">
        <v>21</v>
      </c>
      <c r="C18" s="79" t="s">
        <v>3</v>
      </c>
      <c r="D18" s="80"/>
      <c r="E18" s="80"/>
      <c r="F18" s="81"/>
      <c r="G18" s="8">
        <f>IF($E$15=1,0,0)</f>
        <v>0</v>
      </c>
      <c r="H18" s="8">
        <f>IF($E$15=1,0,0)</f>
        <v>0</v>
      </c>
      <c r="J18" s="56">
        <v>0</v>
      </c>
      <c r="K18" s="56">
        <v>0</v>
      </c>
      <c r="M18" s="15">
        <f>H18/$G$2*$G$4</f>
        <v>0</v>
      </c>
      <c r="O18" s="62">
        <f>K18/$G$2*$G$4</f>
        <v>0</v>
      </c>
    </row>
    <row r="20" spans="2:15" ht="15.75" thickBot="1" x14ac:dyDescent="0.3"/>
    <row r="21" spans="2:15" ht="20.100000000000001" customHeight="1" thickTop="1" thickBot="1" x14ac:dyDescent="0.3">
      <c r="B21" s="23" t="s">
        <v>38</v>
      </c>
      <c r="C21" s="21" t="s">
        <v>45</v>
      </c>
      <c r="D21" s="34"/>
      <c r="E21" s="35"/>
    </row>
    <row r="22" spans="2:15" ht="15.75" thickTop="1" x14ac:dyDescent="0.25">
      <c r="J22" s="77" t="s">
        <v>107</v>
      </c>
      <c r="K22" s="78"/>
    </row>
    <row r="23" spans="2:15" ht="27.95" customHeight="1" x14ac:dyDescent="0.25">
      <c r="B23" s="24" t="s">
        <v>25</v>
      </c>
      <c r="C23" s="82" t="s">
        <v>17</v>
      </c>
      <c r="D23" s="83"/>
      <c r="E23" s="83"/>
      <c r="F23" s="84"/>
      <c r="G23" s="13" t="s">
        <v>2</v>
      </c>
      <c r="H23" s="2" t="s">
        <v>36</v>
      </c>
      <c r="J23" s="54" t="s">
        <v>2</v>
      </c>
      <c r="K23" s="54" t="s">
        <v>36</v>
      </c>
      <c r="M23" s="20" t="s">
        <v>42</v>
      </c>
      <c r="O23" s="54" t="s">
        <v>110</v>
      </c>
    </row>
    <row r="24" spans="2:15" ht="18" customHeight="1" x14ac:dyDescent="0.25">
      <c r="B24" s="4" t="s">
        <v>18</v>
      </c>
      <c r="C24" s="92" t="s">
        <v>5</v>
      </c>
      <c r="D24" s="93"/>
      <c r="E24" s="93"/>
      <c r="F24" s="94"/>
      <c r="G24" s="27">
        <v>609465.55000000005</v>
      </c>
      <c r="H24" s="27">
        <v>650922.6</v>
      </c>
      <c r="J24" s="60">
        <f>126338.88+48932.48+81608+77503.36+44761.5+17287.2+1398.6+28012.6+7257.6</f>
        <v>433100.22</v>
      </c>
      <c r="K24" s="60">
        <f>+J24*1.055</f>
        <v>456920.73209999996</v>
      </c>
    </row>
    <row r="25" spans="2:15" ht="18" customHeight="1" x14ac:dyDescent="0.25">
      <c r="B25" s="5"/>
      <c r="C25" s="25"/>
      <c r="D25" s="26"/>
      <c r="E25" s="87" t="s">
        <v>106</v>
      </c>
      <c r="F25" s="88"/>
      <c r="G25" s="8">
        <f>IF($E$21=1,70054.14,0)</f>
        <v>0</v>
      </c>
      <c r="H25" s="8">
        <f>IF($E$21=1,74833.14,0)</f>
        <v>0</v>
      </c>
      <c r="J25" s="56">
        <f>IF($E$21=1,35438.12,0)</f>
        <v>0</v>
      </c>
      <c r="K25" s="56">
        <f>+J25*1.055</f>
        <v>0</v>
      </c>
      <c r="M25" s="15">
        <f>H25/$G$3*$G$4</f>
        <v>0</v>
      </c>
      <c r="O25" s="57">
        <f>K25/$G$3*$G$4</f>
        <v>0</v>
      </c>
    </row>
    <row r="26" spans="2:15" ht="18" customHeight="1" x14ac:dyDescent="0.25">
      <c r="B26" s="1" t="s">
        <v>37</v>
      </c>
      <c r="C26" s="79" t="s">
        <v>4</v>
      </c>
      <c r="D26" s="80"/>
      <c r="E26" s="80"/>
      <c r="F26" s="80"/>
      <c r="G26" s="12"/>
      <c r="H26" s="12"/>
      <c r="J26" s="12"/>
      <c r="K26" s="12"/>
      <c r="M26" s="28">
        <f>H26/$G$3*$G$4</f>
        <v>0</v>
      </c>
      <c r="O26" s="28">
        <f>J26/$G$3*$G$4</f>
        <v>0</v>
      </c>
    </row>
    <row r="29" spans="2:15" x14ac:dyDescent="0.25">
      <c r="J29" s="77" t="s">
        <v>109</v>
      </c>
      <c r="K29" s="78"/>
    </row>
    <row r="30" spans="2:15" ht="27.95" customHeight="1" x14ac:dyDescent="0.25">
      <c r="B30" s="24" t="s">
        <v>40</v>
      </c>
      <c r="C30" s="82" t="s">
        <v>34</v>
      </c>
      <c r="D30" s="83"/>
      <c r="E30" s="84"/>
      <c r="F30" s="2" t="s">
        <v>35</v>
      </c>
      <c r="G30" s="13" t="s">
        <v>2</v>
      </c>
      <c r="H30" s="2" t="s">
        <v>36</v>
      </c>
      <c r="J30" s="54" t="s">
        <v>2</v>
      </c>
      <c r="K30" s="54" t="s">
        <v>36</v>
      </c>
      <c r="M30" s="20" t="s">
        <v>42</v>
      </c>
      <c r="O30" s="54" t="s">
        <v>110</v>
      </c>
    </row>
    <row r="31" spans="2:15" ht="18" customHeight="1" x14ac:dyDescent="0.25">
      <c r="B31" s="4" t="s">
        <v>8</v>
      </c>
      <c r="C31" s="79" t="s">
        <v>9</v>
      </c>
      <c r="D31" s="80"/>
      <c r="E31" s="81"/>
      <c r="F31" s="14">
        <v>2.2499999999999999E-2</v>
      </c>
      <c r="G31" s="16">
        <f>SUM(G12,G18,G25,G26)*F31</f>
        <v>50216.105925000003</v>
      </c>
      <c r="H31" s="16">
        <f>G31*1.2</f>
        <v>60259.327109999998</v>
      </c>
      <c r="J31" s="55">
        <f>SUM(J12,J18,J25,J26)*F31</f>
        <v>34925.440499999997</v>
      </c>
      <c r="K31" s="55">
        <f>J31*1.2</f>
        <v>41910.528599999998</v>
      </c>
      <c r="M31" s="15">
        <f>H31/$G$2*$G$4</f>
        <v>0</v>
      </c>
      <c r="O31" s="63">
        <f>K31/$G$2*$G$4</f>
        <v>0</v>
      </c>
    </row>
    <row r="32" spans="2:15" ht="18" customHeight="1" x14ac:dyDescent="0.25">
      <c r="B32" s="4" t="s">
        <v>10</v>
      </c>
      <c r="C32" s="79" t="s">
        <v>11</v>
      </c>
      <c r="D32" s="80"/>
      <c r="E32" s="81"/>
      <c r="F32" s="14">
        <v>7.4999999999999997E-2</v>
      </c>
      <c r="G32" s="17"/>
      <c r="H32" s="16">
        <f>SUM(H12,H18,H25,H26)*$F$32</f>
        <v>178886.90550000002</v>
      </c>
      <c r="J32" s="17"/>
      <c r="K32" s="56">
        <f>SUM(K12,K18,K25,K26)*$F$32</f>
        <v>122821.13175</v>
      </c>
      <c r="M32" s="15">
        <f t="shared" ref="M32:M35" si="1">H32/$G$2*$G$4</f>
        <v>0</v>
      </c>
      <c r="O32" s="62">
        <f t="shared" ref="O32:O35" si="2">K32/$G$2*$G$4</f>
        <v>0</v>
      </c>
    </row>
    <row r="33" spans="2:15" ht="18" customHeight="1" x14ac:dyDescent="0.25">
      <c r="B33" s="4" t="s">
        <v>12</v>
      </c>
      <c r="C33" s="79" t="s">
        <v>13</v>
      </c>
      <c r="D33" s="80"/>
      <c r="E33" s="81"/>
      <c r="F33" s="11"/>
      <c r="G33" s="16">
        <v>14370</v>
      </c>
      <c r="H33" s="16">
        <f t="shared" ref="H33:H34" si="3">G33*1.2</f>
        <v>17244</v>
      </c>
      <c r="J33" s="56">
        <v>0</v>
      </c>
      <c r="K33" s="56">
        <v>0</v>
      </c>
      <c r="M33" s="15">
        <f t="shared" si="1"/>
        <v>0</v>
      </c>
      <c r="O33" s="62">
        <f t="shared" si="2"/>
        <v>0</v>
      </c>
    </row>
    <row r="34" spans="2:15" ht="18" customHeight="1" x14ac:dyDescent="0.25">
      <c r="B34" s="4" t="s">
        <v>14</v>
      </c>
      <c r="C34" s="79" t="s">
        <v>13</v>
      </c>
      <c r="D34" s="80"/>
      <c r="E34" s="81"/>
      <c r="F34" s="11"/>
      <c r="G34" s="16">
        <v>18000</v>
      </c>
      <c r="H34" s="16">
        <f t="shared" si="3"/>
        <v>21600</v>
      </c>
      <c r="J34" s="56">
        <v>0</v>
      </c>
      <c r="K34" s="56">
        <v>0</v>
      </c>
      <c r="M34" s="15">
        <f t="shared" si="1"/>
        <v>0</v>
      </c>
      <c r="O34" s="62">
        <f t="shared" si="2"/>
        <v>0</v>
      </c>
    </row>
    <row r="35" spans="2:15" ht="18" customHeight="1" x14ac:dyDescent="0.25">
      <c r="B35" s="1" t="s">
        <v>15</v>
      </c>
      <c r="C35" s="79" t="s">
        <v>44</v>
      </c>
      <c r="D35" s="80"/>
      <c r="E35" s="81"/>
      <c r="F35" s="14">
        <v>1.8599999999999998E-2</v>
      </c>
      <c r="G35" s="17"/>
      <c r="H35" s="16">
        <f>SUM(H12,H18,H25,H26)*$F$35</f>
        <v>44363.952563999999</v>
      </c>
      <c r="J35" s="17"/>
      <c r="K35" s="56">
        <f>SUM(K12,K18,K25,K26)*$F$35</f>
        <v>30459.640673999998</v>
      </c>
      <c r="M35" s="15">
        <f t="shared" si="1"/>
        <v>0</v>
      </c>
      <c r="O35" s="62">
        <f t="shared" si="2"/>
        <v>0</v>
      </c>
    </row>
    <row r="37" spans="2:15" x14ac:dyDescent="0.25">
      <c r="E37" s="10"/>
    </row>
    <row r="38" spans="2:15" x14ac:dyDescent="0.25">
      <c r="E38" s="10"/>
    </row>
    <row r="39" spans="2:15" x14ac:dyDescent="0.25">
      <c r="E39" s="10"/>
      <c r="J39" s="77" t="s">
        <v>107</v>
      </c>
      <c r="K39" s="78"/>
    </row>
    <row r="40" spans="2:15" ht="27.95" customHeight="1" thickBot="1" x14ac:dyDescent="0.3">
      <c r="B40" s="24" t="s">
        <v>41</v>
      </c>
      <c r="C40" s="2" t="s">
        <v>19</v>
      </c>
      <c r="E40" s="2" t="s">
        <v>26</v>
      </c>
      <c r="F40" s="37" t="s">
        <v>33</v>
      </c>
      <c r="G40" s="13" t="s">
        <v>2</v>
      </c>
      <c r="H40" s="2" t="s">
        <v>36</v>
      </c>
      <c r="J40" s="54" t="s">
        <v>2</v>
      </c>
      <c r="K40" s="54" t="s">
        <v>36</v>
      </c>
      <c r="M40" s="20" t="s">
        <v>42</v>
      </c>
      <c r="O40" s="54" t="s">
        <v>110</v>
      </c>
    </row>
    <row r="41" spans="2:15" ht="18" customHeight="1" thickTop="1" thickBot="1" x14ac:dyDescent="0.3">
      <c r="B41" s="1" t="s">
        <v>27</v>
      </c>
      <c r="C41" s="3" t="s">
        <v>4</v>
      </c>
      <c r="E41" s="36">
        <f>702.64</f>
        <v>702.64</v>
      </c>
      <c r="F41" s="38"/>
      <c r="G41" s="7">
        <f>E41*F41</f>
        <v>0</v>
      </c>
      <c r="H41" s="8">
        <f>G41*1.1</f>
        <v>0</v>
      </c>
      <c r="J41" s="55">
        <v>0</v>
      </c>
      <c r="K41" s="55">
        <v>0</v>
      </c>
      <c r="M41" s="15">
        <f>H41</f>
        <v>0</v>
      </c>
      <c r="O41" s="63">
        <f>K41</f>
        <v>0</v>
      </c>
    </row>
    <row r="42" spans="2:15" ht="18" customHeight="1" thickTop="1" thickBot="1" x14ac:dyDescent="0.3">
      <c r="B42" s="1" t="s">
        <v>28</v>
      </c>
      <c r="C42" s="3" t="s">
        <v>4</v>
      </c>
      <c r="E42" s="36">
        <f>732.43</f>
        <v>732.43</v>
      </c>
      <c r="F42" s="38"/>
      <c r="G42" s="7">
        <f t="shared" ref="G42:G46" si="4">E42*F42</f>
        <v>0</v>
      </c>
      <c r="H42" s="8">
        <f t="shared" ref="H42:H46" si="5">G42*1.1</f>
        <v>0</v>
      </c>
      <c r="J42" s="56">
        <v>0</v>
      </c>
      <c r="K42" s="56">
        <v>0</v>
      </c>
      <c r="M42" s="15">
        <f t="shared" ref="M42:M46" si="6">H42</f>
        <v>0</v>
      </c>
      <c r="O42" s="62">
        <f t="shared" ref="O42:O45" si="7">K42</f>
        <v>0</v>
      </c>
    </row>
    <row r="43" spans="2:15" ht="18" customHeight="1" thickTop="1" thickBot="1" x14ac:dyDescent="0.3">
      <c r="B43" s="1" t="s">
        <v>29</v>
      </c>
      <c r="C43" s="3" t="s">
        <v>4</v>
      </c>
      <c r="E43" s="36">
        <f>552.84</f>
        <v>552.84</v>
      </c>
      <c r="F43" s="38"/>
      <c r="G43" s="7">
        <f t="shared" si="4"/>
        <v>0</v>
      </c>
      <c r="H43" s="8">
        <f t="shared" si="5"/>
        <v>0</v>
      </c>
      <c r="J43" s="56">
        <v>0</v>
      </c>
      <c r="K43" s="56">
        <v>0</v>
      </c>
      <c r="M43" s="15">
        <f t="shared" si="6"/>
        <v>0</v>
      </c>
      <c r="O43" s="62">
        <f t="shared" si="7"/>
        <v>0</v>
      </c>
    </row>
    <row r="44" spans="2:15" ht="18" customHeight="1" thickTop="1" thickBot="1" x14ac:dyDescent="0.3">
      <c r="B44" s="1" t="s">
        <v>30</v>
      </c>
      <c r="C44" s="3" t="s">
        <v>4</v>
      </c>
      <c r="E44" s="36">
        <f>585.47</f>
        <v>585.47</v>
      </c>
      <c r="F44" s="38"/>
      <c r="G44" s="7">
        <f t="shared" si="4"/>
        <v>0</v>
      </c>
      <c r="H44" s="8">
        <f t="shared" si="5"/>
        <v>0</v>
      </c>
      <c r="J44" s="56">
        <v>0</v>
      </c>
      <c r="K44" s="56">
        <v>0</v>
      </c>
      <c r="M44" s="15">
        <f t="shared" si="6"/>
        <v>0</v>
      </c>
      <c r="O44" s="62">
        <f t="shared" si="7"/>
        <v>0</v>
      </c>
    </row>
    <row r="45" spans="2:15" ht="18" customHeight="1" thickTop="1" thickBot="1" x14ac:dyDescent="0.3">
      <c r="B45" s="1" t="s">
        <v>31</v>
      </c>
      <c r="C45" s="3" t="s">
        <v>4</v>
      </c>
      <c r="E45" s="36">
        <f>836.8</f>
        <v>836.8</v>
      </c>
      <c r="F45" s="38"/>
      <c r="G45" s="7">
        <f t="shared" si="4"/>
        <v>0</v>
      </c>
      <c r="H45" s="8">
        <f t="shared" si="5"/>
        <v>0</v>
      </c>
      <c r="J45" s="56">
        <v>0</v>
      </c>
      <c r="K45" s="56">
        <v>0</v>
      </c>
      <c r="M45" s="15">
        <f t="shared" si="6"/>
        <v>0</v>
      </c>
      <c r="O45" s="62">
        <f t="shared" si="7"/>
        <v>0</v>
      </c>
    </row>
    <row r="46" spans="2:15" ht="18" customHeight="1" thickTop="1" thickBot="1" x14ac:dyDescent="0.3">
      <c r="B46" s="1" t="s">
        <v>32</v>
      </c>
      <c r="C46" s="3" t="s">
        <v>4</v>
      </c>
      <c r="E46" s="36">
        <f>938.87</f>
        <v>938.87</v>
      </c>
      <c r="F46" s="38"/>
      <c r="G46" s="7">
        <f t="shared" si="4"/>
        <v>0</v>
      </c>
      <c r="H46" s="8">
        <f t="shared" si="5"/>
        <v>0</v>
      </c>
      <c r="J46" s="56">
        <v>0</v>
      </c>
      <c r="K46" s="56">
        <v>0</v>
      </c>
      <c r="M46" s="15">
        <f t="shared" si="6"/>
        <v>0</v>
      </c>
      <c r="O46" s="62">
        <f>K46</f>
        <v>0</v>
      </c>
    </row>
    <row r="47" spans="2:15" ht="30" customHeight="1" thickTop="1" x14ac:dyDescent="0.25"/>
    <row r="48" spans="2:15" ht="27.95" customHeight="1" x14ac:dyDescent="0.25">
      <c r="B48" s="24" t="s">
        <v>78</v>
      </c>
      <c r="H48" s="2" t="s">
        <v>76</v>
      </c>
      <c r="M48" s="20" t="s">
        <v>42</v>
      </c>
    </row>
    <row r="49" spans="2:15" ht="18" customHeight="1" x14ac:dyDescent="0.25">
      <c r="B49" s="1" t="s">
        <v>77</v>
      </c>
      <c r="H49" s="39">
        <v>-7429</v>
      </c>
      <c r="M49" s="40">
        <f>H49/$G$3*$G$4</f>
        <v>0</v>
      </c>
    </row>
    <row r="50" spans="2:15" ht="30" customHeight="1" x14ac:dyDescent="0.25"/>
    <row r="51" spans="2:15" ht="27.95" customHeight="1" x14ac:dyDescent="0.25">
      <c r="M51" s="31">
        <f>SUM(M12,M18,M25,M26,M31,M32,M33,M34,M35,M41,M42,M43,M44,M45,M46,M49)</f>
        <v>0</v>
      </c>
      <c r="O51" s="64">
        <f>SUM(O12,O18,O25,O26,O31,O32,O33,O34,O35,O41,O42,O43,O44,O45,O46)</f>
        <v>0</v>
      </c>
    </row>
    <row r="53" spans="2:15" ht="27.95" customHeight="1" x14ac:dyDescent="0.25">
      <c r="H53" s="66" t="s">
        <v>111</v>
      </c>
      <c r="J53" s="30"/>
      <c r="M53" s="67">
        <f>+M51-O51</f>
        <v>0</v>
      </c>
    </row>
  </sheetData>
  <sheetProtection algorithmName="SHA-512" hashValue="1OZ6qLAMEvXcMZbTHy6GFUTkCUFlF5l8NmSEo8Vp7+Jmwao2aGSm/o6HmLHTLn1HMmSJwY8r6YD8EdHDzM+tUg==" saltValue="u5kWf52oNgm5vQA40dkBAA==" spinCount="100000" sheet="1" objects="1" scenarios="1"/>
  <mergeCells count="24">
    <mergeCell ref="C35:E35"/>
    <mergeCell ref="C26:F26"/>
    <mergeCell ref="C30:E30"/>
    <mergeCell ref="C31:E31"/>
    <mergeCell ref="C32:E32"/>
    <mergeCell ref="C33:E33"/>
    <mergeCell ref="C34:E34"/>
    <mergeCell ref="E25:F25"/>
    <mergeCell ref="E4:F4"/>
    <mergeCell ref="C7:F7"/>
    <mergeCell ref="C8:F8"/>
    <mergeCell ref="C9:F9"/>
    <mergeCell ref="C10:F10"/>
    <mergeCell ref="C11:F11"/>
    <mergeCell ref="B12:F12"/>
    <mergeCell ref="C17:F17"/>
    <mergeCell ref="C18:F18"/>
    <mergeCell ref="C23:F23"/>
    <mergeCell ref="C24:F24"/>
    <mergeCell ref="J6:K6"/>
    <mergeCell ref="J16:K16"/>
    <mergeCell ref="J22:K22"/>
    <mergeCell ref="J29:K29"/>
    <mergeCell ref="J39:K39"/>
  </mergeCells>
  <pageMargins left="0.7" right="0.7" top="0.75" bottom="0.75" header="0.3" footer="0.3"/>
  <drawing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657266-E1EC-475A-AF77-DF7073B3BF81}">
  <sheetPr>
    <tabColor rgb="FF00B050"/>
  </sheetPr>
  <dimension ref="B1:O53"/>
  <sheetViews>
    <sheetView showGridLines="0" zoomScaleNormal="100" workbookViewId="0">
      <selection activeCell="E47" sqref="E47"/>
    </sheetView>
  </sheetViews>
  <sheetFormatPr baseColWidth="10" defaultRowHeight="15" x14ac:dyDescent="0.25"/>
  <cols>
    <col min="1" max="1" width="2.7109375" style="9" customWidth="1"/>
    <col min="2" max="2" width="68.140625" style="9" bestFit="1" customWidth="1"/>
    <col min="3" max="3" width="17.85546875" style="9" customWidth="1"/>
    <col min="4" max="4" width="23.140625" style="9" hidden="1" customWidth="1"/>
    <col min="5" max="5" width="18.140625" style="9" bestFit="1" customWidth="1"/>
    <col min="6" max="6" width="13.28515625" style="9" customWidth="1"/>
    <col min="7" max="8" width="20.7109375" style="9" customWidth="1"/>
    <col min="9" max="9" width="2.7109375" style="9" customWidth="1"/>
    <col min="10" max="11" width="20.7109375" style="9" customWidth="1"/>
    <col min="12" max="12" width="2.7109375" style="9" customWidth="1"/>
    <col min="13" max="13" width="20.7109375" style="9" customWidth="1"/>
    <col min="14" max="14" width="2.7109375" style="9" customWidth="1"/>
    <col min="15" max="15" width="20.7109375" style="9" customWidth="1"/>
    <col min="16" max="20" width="15" style="9" bestFit="1" customWidth="1"/>
    <col min="21" max="21" width="15.140625" style="9" customWidth="1"/>
    <col min="22" max="16384" width="11.42578125" style="9"/>
  </cols>
  <sheetData>
    <row r="1" spans="2:15" ht="30" customHeight="1" x14ac:dyDescent="0.25">
      <c r="B1" s="22" t="s">
        <v>47</v>
      </c>
    </row>
    <row r="2" spans="2:15" ht="18" customHeight="1" x14ac:dyDescent="0.25">
      <c r="E2" s="18" t="s">
        <v>39</v>
      </c>
      <c r="F2" s="19"/>
      <c r="G2" s="29">
        <v>100718</v>
      </c>
    </row>
    <row r="3" spans="2:15" ht="18" customHeight="1" thickBot="1" x14ac:dyDescent="0.3">
      <c r="E3" s="18" t="s">
        <v>105</v>
      </c>
      <c r="F3" s="19"/>
      <c r="G3" s="32">
        <v>10133</v>
      </c>
    </row>
    <row r="4" spans="2:15" ht="18" customHeight="1" thickTop="1" thickBot="1" x14ac:dyDescent="0.3">
      <c r="E4" s="85" t="s">
        <v>48</v>
      </c>
      <c r="F4" s="86"/>
      <c r="G4" s="33"/>
    </row>
    <row r="5" spans="2:15" ht="20.100000000000001" customHeight="1" thickTop="1" x14ac:dyDescent="0.25">
      <c r="B5" s="23" t="s">
        <v>22</v>
      </c>
    </row>
    <row r="6" spans="2:15" x14ac:dyDescent="0.25">
      <c r="J6" s="77" t="s">
        <v>107</v>
      </c>
      <c r="K6" s="78"/>
    </row>
    <row r="7" spans="2:15" ht="27.95" customHeight="1" x14ac:dyDescent="0.25">
      <c r="B7" s="24" t="s">
        <v>20</v>
      </c>
      <c r="C7" s="82" t="s">
        <v>17</v>
      </c>
      <c r="D7" s="83"/>
      <c r="E7" s="83"/>
      <c r="F7" s="84"/>
      <c r="G7" s="13" t="s">
        <v>2</v>
      </c>
      <c r="H7" s="2" t="s">
        <v>36</v>
      </c>
      <c r="J7" s="54" t="s">
        <v>2</v>
      </c>
      <c r="K7" s="54" t="s">
        <v>36</v>
      </c>
      <c r="M7" s="20" t="s">
        <v>42</v>
      </c>
      <c r="O7" s="54" t="s">
        <v>110</v>
      </c>
    </row>
    <row r="8" spans="2:15" ht="18" customHeight="1" x14ac:dyDescent="0.25">
      <c r="B8" s="4" t="s">
        <v>1</v>
      </c>
      <c r="C8" s="79" t="s">
        <v>3</v>
      </c>
      <c r="D8" s="80"/>
      <c r="E8" s="80"/>
      <c r="F8" s="81"/>
      <c r="G8" s="6">
        <v>2110722.85</v>
      </c>
      <c r="H8" s="6">
        <v>2250416.36</v>
      </c>
      <c r="J8" s="55">
        <f>253350+1332845</f>
        <v>1586195</v>
      </c>
      <c r="K8" s="55">
        <f>267284.25+1406151.48</f>
        <v>1673435.73</v>
      </c>
      <c r="M8" s="6">
        <f t="shared" ref="M8:M11" si="0">H8/$G$2*$G$4</f>
        <v>0</v>
      </c>
      <c r="O8" s="55">
        <f>K8/$G$2*$G$4</f>
        <v>0</v>
      </c>
    </row>
    <row r="9" spans="2:15" ht="18" customHeight="1" x14ac:dyDescent="0.25">
      <c r="B9" s="1" t="s">
        <v>0</v>
      </c>
      <c r="C9" s="79" t="s">
        <v>4</v>
      </c>
      <c r="D9" s="80"/>
      <c r="E9" s="80"/>
      <c r="F9" s="81"/>
      <c r="G9" s="8">
        <v>132572.78</v>
      </c>
      <c r="H9" s="8">
        <v>140684.81</v>
      </c>
      <c r="J9" s="56">
        <f>5241.49+7289.14+101808.27</f>
        <v>114338.90000000001</v>
      </c>
      <c r="K9" s="56">
        <f>5529.77+7690.04+107407.72</f>
        <v>120627.53</v>
      </c>
      <c r="M9" s="8">
        <f t="shared" si="0"/>
        <v>0</v>
      </c>
      <c r="O9" s="56">
        <f>K9/$G$2*$G$4</f>
        <v>0</v>
      </c>
    </row>
    <row r="10" spans="2:15" ht="18" customHeight="1" x14ac:dyDescent="0.25">
      <c r="B10" s="5" t="s">
        <v>16</v>
      </c>
      <c r="C10" s="79" t="s">
        <v>5</v>
      </c>
      <c r="D10" s="80"/>
      <c r="E10" s="80"/>
      <c r="F10" s="81"/>
      <c r="G10" s="8">
        <v>136823.4</v>
      </c>
      <c r="H10" s="8">
        <v>150505.74000000002</v>
      </c>
      <c r="J10" s="56">
        <v>0</v>
      </c>
      <c r="K10" s="56">
        <v>0</v>
      </c>
      <c r="M10" s="8">
        <f t="shared" si="0"/>
        <v>0</v>
      </c>
      <c r="O10" s="56">
        <f>K10/$G$2*$G$4</f>
        <v>0</v>
      </c>
    </row>
    <row r="11" spans="2:15" ht="18" customHeight="1" x14ac:dyDescent="0.25">
      <c r="B11" s="5" t="s">
        <v>6</v>
      </c>
      <c r="C11" s="79" t="s">
        <v>7</v>
      </c>
      <c r="D11" s="80"/>
      <c r="E11" s="80"/>
      <c r="F11" s="81"/>
      <c r="G11" s="8">
        <v>142826.4</v>
      </c>
      <c r="H11" s="8">
        <v>150681.85</v>
      </c>
      <c r="J11" s="56">
        <v>142826.4</v>
      </c>
      <c r="K11" s="56">
        <v>150681.85</v>
      </c>
      <c r="M11" s="8">
        <f t="shared" si="0"/>
        <v>0</v>
      </c>
      <c r="O11" s="56">
        <f>K11/$G$2*$G$4</f>
        <v>0</v>
      </c>
    </row>
    <row r="12" spans="2:15" ht="24.95" customHeight="1" x14ac:dyDescent="0.25">
      <c r="B12" s="89" t="s">
        <v>43</v>
      </c>
      <c r="C12" s="90"/>
      <c r="D12" s="90"/>
      <c r="E12" s="90"/>
      <c r="F12" s="91"/>
      <c r="G12" s="15">
        <f>SUM(G8:G11)</f>
        <v>2522945.4299999997</v>
      </c>
      <c r="H12" s="15">
        <f>SUM(H8:H11)</f>
        <v>2692288.7600000002</v>
      </c>
      <c r="J12" s="57">
        <f>SUM(J8:J11)</f>
        <v>1843360.2999999998</v>
      </c>
      <c r="K12" s="57">
        <f>SUM(K8:K11)</f>
        <v>1944745.11</v>
      </c>
      <c r="M12" s="15">
        <f>H12/$G$2*$G$4</f>
        <v>0</v>
      </c>
      <c r="O12" s="57">
        <f>K12/$G$2*$G$4</f>
        <v>0</v>
      </c>
    </row>
    <row r="13" spans="2:15" ht="15" customHeight="1" x14ac:dyDescent="0.25"/>
    <row r="14" spans="2:15" ht="15" customHeight="1" thickBot="1" x14ac:dyDescent="0.3">
      <c r="K14" s="58" t="s">
        <v>108</v>
      </c>
      <c r="L14" s="59"/>
      <c r="M14" s="61">
        <f>SUM(M8:M11)</f>
        <v>0</v>
      </c>
      <c r="O14" s="61">
        <f>SUM(O8:O11)</f>
        <v>0</v>
      </c>
    </row>
    <row r="15" spans="2:15" ht="20.100000000000001" customHeight="1" thickTop="1" thickBot="1" x14ac:dyDescent="0.3">
      <c r="B15" s="23" t="s">
        <v>23</v>
      </c>
      <c r="C15" s="21" t="s">
        <v>45</v>
      </c>
      <c r="D15" s="34"/>
      <c r="E15" s="35"/>
    </row>
    <row r="16" spans="2:15" ht="15" customHeight="1" thickTop="1" x14ac:dyDescent="0.25">
      <c r="J16" s="77" t="s">
        <v>107</v>
      </c>
      <c r="K16" s="78"/>
    </row>
    <row r="17" spans="2:15" ht="27.95" customHeight="1" x14ac:dyDescent="0.25">
      <c r="B17" s="24" t="s">
        <v>24</v>
      </c>
      <c r="C17" s="82" t="s">
        <v>17</v>
      </c>
      <c r="D17" s="83"/>
      <c r="E17" s="83"/>
      <c r="F17" s="84"/>
      <c r="G17" s="13" t="s">
        <v>2</v>
      </c>
      <c r="H17" s="2" t="s">
        <v>36</v>
      </c>
      <c r="J17" s="54" t="s">
        <v>2</v>
      </c>
      <c r="K17" s="54" t="s">
        <v>36</v>
      </c>
      <c r="M17" s="20" t="s">
        <v>42</v>
      </c>
      <c r="O17" s="54" t="s">
        <v>110</v>
      </c>
    </row>
    <row r="18" spans="2:15" ht="18" customHeight="1" x14ac:dyDescent="0.25">
      <c r="B18" s="1" t="s">
        <v>21</v>
      </c>
      <c r="C18" s="79" t="s">
        <v>3</v>
      </c>
      <c r="D18" s="80"/>
      <c r="E18" s="80"/>
      <c r="F18" s="81"/>
      <c r="G18" s="8">
        <f>IF($E$15=1,0,0)</f>
        <v>0</v>
      </c>
      <c r="H18" s="8">
        <f>IF($E$15=1,0,0)</f>
        <v>0</v>
      </c>
      <c r="J18" s="56">
        <v>0</v>
      </c>
      <c r="K18" s="56">
        <v>0</v>
      </c>
      <c r="M18" s="15">
        <f>H18/$G$2*$G$4</f>
        <v>0</v>
      </c>
      <c r="O18" s="62">
        <f>K18/$G$2*$G$4</f>
        <v>0</v>
      </c>
    </row>
    <row r="20" spans="2:15" ht="15.75" thickBot="1" x14ac:dyDescent="0.3"/>
    <row r="21" spans="2:15" ht="20.100000000000001" customHeight="1" thickTop="1" thickBot="1" x14ac:dyDescent="0.3">
      <c r="B21" s="23" t="s">
        <v>38</v>
      </c>
      <c r="C21" s="21" t="s">
        <v>45</v>
      </c>
      <c r="D21" s="34"/>
      <c r="E21" s="35"/>
    </row>
    <row r="22" spans="2:15" ht="15.75" thickTop="1" x14ac:dyDescent="0.25">
      <c r="J22" s="77" t="s">
        <v>107</v>
      </c>
      <c r="K22" s="78"/>
    </row>
    <row r="23" spans="2:15" ht="27.95" customHeight="1" x14ac:dyDescent="0.25">
      <c r="B23" s="24" t="s">
        <v>25</v>
      </c>
      <c r="C23" s="82" t="s">
        <v>17</v>
      </c>
      <c r="D23" s="83"/>
      <c r="E23" s="83"/>
      <c r="F23" s="84"/>
      <c r="G23" s="13" t="s">
        <v>2</v>
      </c>
      <c r="H23" s="2" t="s">
        <v>36</v>
      </c>
      <c r="J23" s="54" t="s">
        <v>2</v>
      </c>
      <c r="K23" s="54" t="s">
        <v>36</v>
      </c>
      <c r="M23" s="20" t="s">
        <v>42</v>
      </c>
      <c r="O23" s="54" t="s">
        <v>110</v>
      </c>
    </row>
    <row r="24" spans="2:15" ht="18" customHeight="1" x14ac:dyDescent="0.25">
      <c r="B24" s="4" t="s">
        <v>18</v>
      </c>
      <c r="C24" s="92" t="s">
        <v>5</v>
      </c>
      <c r="D24" s="93"/>
      <c r="E24" s="93"/>
      <c r="F24" s="94"/>
      <c r="G24" s="27">
        <v>609465.55000000005</v>
      </c>
      <c r="H24" s="27">
        <v>650922.6</v>
      </c>
      <c r="J24" s="60">
        <f>126338.88+48932.48+81608+77503.36+44761.5+17287.2+1398.6+28012.6+7257.6</f>
        <v>433100.22</v>
      </c>
      <c r="K24" s="60">
        <f>+J24*1.055</f>
        <v>456920.73209999996</v>
      </c>
    </row>
    <row r="25" spans="2:15" ht="18" customHeight="1" x14ac:dyDescent="0.25">
      <c r="B25" s="5"/>
      <c r="C25" s="25"/>
      <c r="D25" s="26"/>
      <c r="E25" s="87" t="s">
        <v>106</v>
      </c>
      <c r="F25" s="88"/>
      <c r="G25" s="8">
        <f>IF($E$21=1,70054.14,0)</f>
        <v>0</v>
      </c>
      <c r="H25" s="8">
        <f>IF($E$21=1,74833.14,0)</f>
        <v>0</v>
      </c>
      <c r="J25" s="56">
        <f>IF($E$21=1,35438.12,0)</f>
        <v>0</v>
      </c>
      <c r="K25" s="56">
        <f>+J25*1.055</f>
        <v>0</v>
      </c>
      <c r="M25" s="15">
        <f>H25/$G$3*$G$4</f>
        <v>0</v>
      </c>
      <c r="O25" s="57">
        <f>K25/$G$3*$G$4</f>
        <v>0</v>
      </c>
    </row>
    <row r="26" spans="2:15" ht="18" customHeight="1" x14ac:dyDescent="0.25">
      <c r="B26" s="1" t="s">
        <v>37</v>
      </c>
      <c r="C26" s="79" t="s">
        <v>4</v>
      </c>
      <c r="D26" s="80"/>
      <c r="E26" s="80"/>
      <c r="F26" s="80"/>
      <c r="G26" s="12"/>
      <c r="H26" s="12"/>
      <c r="J26" s="12"/>
      <c r="K26" s="12"/>
      <c r="M26" s="28">
        <f>H26/$G$3*$G$4</f>
        <v>0</v>
      </c>
      <c r="O26" s="28">
        <f>J26/$G$3*$G$4</f>
        <v>0</v>
      </c>
    </row>
    <row r="29" spans="2:15" x14ac:dyDescent="0.25">
      <c r="J29" s="77" t="s">
        <v>109</v>
      </c>
      <c r="K29" s="78"/>
    </row>
    <row r="30" spans="2:15" ht="27.95" customHeight="1" x14ac:dyDescent="0.25">
      <c r="B30" s="24" t="s">
        <v>40</v>
      </c>
      <c r="C30" s="82" t="s">
        <v>34</v>
      </c>
      <c r="D30" s="83"/>
      <c r="E30" s="84"/>
      <c r="F30" s="2" t="s">
        <v>35</v>
      </c>
      <c r="G30" s="13" t="s">
        <v>2</v>
      </c>
      <c r="H30" s="2" t="s">
        <v>36</v>
      </c>
      <c r="J30" s="54" t="s">
        <v>2</v>
      </c>
      <c r="K30" s="54" t="s">
        <v>36</v>
      </c>
      <c r="M30" s="20" t="s">
        <v>42</v>
      </c>
      <c r="O30" s="54" t="s">
        <v>110</v>
      </c>
    </row>
    <row r="31" spans="2:15" ht="18" customHeight="1" x14ac:dyDescent="0.25">
      <c r="B31" s="4" t="s">
        <v>8</v>
      </c>
      <c r="C31" s="79" t="s">
        <v>9</v>
      </c>
      <c r="D31" s="80"/>
      <c r="E31" s="81"/>
      <c r="F31" s="14">
        <v>2.2499999999999999E-2</v>
      </c>
      <c r="G31" s="16">
        <f>SUM(G12,G18,G25,G26)*F31</f>
        <v>56766.272174999991</v>
      </c>
      <c r="H31" s="16">
        <f>G31*1.2</f>
        <v>68119.526609999986</v>
      </c>
      <c r="J31" s="55">
        <f>SUM(J12,J18,J25,J26)*F31</f>
        <v>41475.606749999992</v>
      </c>
      <c r="K31" s="55">
        <f>J31*1.2</f>
        <v>49770.728099999986</v>
      </c>
      <c r="M31" s="15">
        <f>H31/$G$2*$G$4</f>
        <v>0</v>
      </c>
      <c r="O31" s="63">
        <f>K31/$G$2*$G$4</f>
        <v>0</v>
      </c>
    </row>
    <row r="32" spans="2:15" ht="18" customHeight="1" x14ac:dyDescent="0.25">
      <c r="B32" s="4" t="s">
        <v>10</v>
      </c>
      <c r="C32" s="79" t="s">
        <v>11</v>
      </c>
      <c r="D32" s="80"/>
      <c r="E32" s="81"/>
      <c r="F32" s="14">
        <v>7.4999999999999997E-2</v>
      </c>
      <c r="G32" s="17"/>
      <c r="H32" s="16">
        <f>SUM(H12,H18,H25,H26)*$F$32</f>
        <v>201921.65700000001</v>
      </c>
      <c r="J32" s="17"/>
      <c r="K32" s="56">
        <f>SUM(K12,K18,K25,K26)*$F$32</f>
        <v>145855.88325000001</v>
      </c>
      <c r="M32" s="15">
        <f t="shared" ref="M32:M35" si="1">H32/$G$2*$G$4</f>
        <v>0</v>
      </c>
      <c r="O32" s="62">
        <f t="shared" ref="O32:O35" si="2">K32/$G$2*$G$4</f>
        <v>0</v>
      </c>
    </row>
    <row r="33" spans="2:15" ht="18" customHeight="1" x14ac:dyDescent="0.25">
      <c r="B33" s="4" t="s">
        <v>12</v>
      </c>
      <c r="C33" s="79" t="s">
        <v>13</v>
      </c>
      <c r="D33" s="80"/>
      <c r="E33" s="81"/>
      <c r="F33" s="11"/>
      <c r="G33" s="16">
        <v>14370</v>
      </c>
      <c r="H33" s="16">
        <f t="shared" ref="H33:H34" si="3">G33*1.2</f>
        <v>17244</v>
      </c>
      <c r="J33" s="56">
        <v>0</v>
      </c>
      <c r="K33" s="56">
        <v>0</v>
      </c>
      <c r="M33" s="15">
        <f t="shared" si="1"/>
        <v>0</v>
      </c>
      <c r="O33" s="62">
        <f t="shared" si="2"/>
        <v>0</v>
      </c>
    </row>
    <row r="34" spans="2:15" ht="18" customHeight="1" x14ac:dyDescent="0.25">
      <c r="B34" s="4" t="s">
        <v>14</v>
      </c>
      <c r="C34" s="79" t="s">
        <v>13</v>
      </c>
      <c r="D34" s="80"/>
      <c r="E34" s="81"/>
      <c r="F34" s="11"/>
      <c r="G34" s="16">
        <v>18000</v>
      </c>
      <c r="H34" s="16">
        <f t="shared" si="3"/>
        <v>21600</v>
      </c>
      <c r="J34" s="56">
        <v>0</v>
      </c>
      <c r="K34" s="56">
        <v>0</v>
      </c>
      <c r="M34" s="15">
        <f t="shared" si="1"/>
        <v>0</v>
      </c>
      <c r="O34" s="62">
        <f t="shared" si="2"/>
        <v>0</v>
      </c>
    </row>
    <row r="35" spans="2:15" ht="18" customHeight="1" x14ac:dyDescent="0.25">
      <c r="B35" s="1" t="s">
        <v>15</v>
      </c>
      <c r="C35" s="79" t="s">
        <v>44</v>
      </c>
      <c r="D35" s="80"/>
      <c r="E35" s="81"/>
      <c r="F35" s="14">
        <v>1.8599999999999998E-2</v>
      </c>
      <c r="G35" s="17"/>
      <c r="H35" s="16">
        <f>SUM(H12,H18,H25,H26)*$F$35</f>
        <v>50076.570936000004</v>
      </c>
      <c r="J35" s="17"/>
      <c r="K35" s="56">
        <f>SUM(K12,K18,K25,K26)*$F$35</f>
        <v>36172.259045999999</v>
      </c>
      <c r="M35" s="15">
        <f t="shared" si="1"/>
        <v>0</v>
      </c>
      <c r="O35" s="62">
        <f t="shared" si="2"/>
        <v>0</v>
      </c>
    </row>
    <row r="37" spans="2:15" x14ac:dyDescent="0.25">
      <c r="E37" s="10"/>
    </row>
    <row r="38" spans="2:15" x14ac:dyDescent="0.25">
      <c r="E38" s="10"/>
    </row>
    <row r="39" spans="2:15" x14ac:dyDescent="0.25">
      <c r="E39" s="10"/>
      <c r="J39" s="77" t="s">
        <v>107</v>
      </c>
      <c r="K39" s="78"/>
    </row>
    <row r="40" spans="2:15" ht="27.95" customHeight="1" thickBot="1" x14ac:dyDescent="0.3">
      <c r="B40" s="24" t="s">
        <v>41</v>
      </c>
      <c r="C40" s="2" t="s">
        <v>19</v>
      </c>
      <c r="E40" s="2" t="s">
        <v>26</v>
      </c>
      <c r="F40" s="37" t="s">
        <v>33</v>
      </c>
      <c r="G40" s="13" t="s">
        <v>2</v>
      </c>
      <c r="H40" s="2" t="s">
        <v>36</v>
      </c>
      <c r="J40" s="54" t="s">
        <v>2</v>
      </c>
      <c r="K40" s="54" t="s">
        <v>36</v>
      </c>
      <c r="M40" s="20" t="s">
        <v>42</v>
      </c>
      <c r="O40" s="54" t="s">
        <v>110</v>
      </c>
    </row>
    <row r="41" spans="2:15" ht="18" customHeight="1" thickTop="1" thickBot="1" x14ac:dyDescent="0.3">
      <c r="B41" s="1" t="s">
        <v>27</v>
      </c>
      <c r="C41" s="3" t="s">
        <v>4</v>
      </c>
      <c r="E41" s="36">
        <f>702.64</f>
        <v>702.64</v>
      </c>
      <c r="F41" s="38"/>
      <c r="G41" s="7">
        <f>E41*F41</f>
        <v>0</v>
      </c>
      <c r="H41" s="8">
        <f>G41*1.1</f>
        <v>0</v>
      </c>
      <c r="J41" s="55">
        <v>0</v>
      </c>
      <c r="K41" s="55">
        <v>0</v>
      </c>
      <c r="M41" s="15">
        <f>H41</f>
        <v>0</v>
      </c>
      <c r="O41" s="63">
        <f>K41</f>
        <v>0</v>
      </c>
    </row>
    <row r="42" spans="2:15" ht="18" customHeight="1" thickTop="1" thickBot="1" x14ac:dyDescent="0.3">
      <c r="B42" s="1" t="s">
        <v>28</v>
      </c>
      <c r="C42" s="3" t="s">
        <v>4</v>
      </c>
      <c r="E42" s="36">
        <f>732.43</f>
        <v>732.43</v>
      </c>
      <c r="F42" s="38"/>
      <c r="G42" s="7">
        <f t="shared" ref="G42:G46" si="4">E42*F42</f>
        <v>0</v>
      </c>
      <c r="H42" s="8">
        <f t="shared" ref="H42:H46" si="5">G42*1.1</f>
        <v>0</v>
      </c>
      <c r="J42" s="56">
        <v>0</v>
      </c>
      <c r="K42" s="56">
        <v>0</v>
      </c>
      <c r="M42" s="15">
        <f t="shared" ref="M42:M46" si="6">H42</f>
        <v>0</v>
      </c>
      <c r="O42" s="62">
        <f t="shared" ref="O42:O45" si="7">K42</f>
        <v>0</v>
      </c>
    </row>
    <row r="43" spans="2:15" ht="18" customHeight="1" thickTop="1" thickBot="1" x14ac:dyDescent="0.3">
      <c r="B43" s="1" t="s">
        <v>29</v>
      </c>
      <c r="C43" s="3" t="s">
        <v>4</v>
      </c>
      <c r="E43" s="36">
        <f>552.84</f>
        <v>552.84</v>
      </c>
      <c r="F43" s="38"/>
      <c r="G43" s="7">
        <f t="shared" si="4"/>
        <v>0</v>
      </c>
      <c r="H43" s="8">
        <f t="shared" si="5"/>
        <v>0</v>
      </c>
      <c r="J43" s="56">
        <v>0</v>
      </c>
      <c r="K43" s="56">
        <v>0</v>
      </c>
      <c r="M43" s="15">
        <f t="shared" si="6"/>
        <v>0</v>
      </c>
      <c r="O43" s="62">
        <f t="shared" si="7"/>
        <v>0</v>
      </c>
    </row>
    <row r="44" spans="2:15" ht="18" customHeight="1" thickTop="1" thickBot="1" x14ac:dyDescent="0.3">
      <c r="B44" s="1" t="s">
        <v>30</v>
      </c>
      <c r="C44" s="3" t="s">
        <v>4</v>
      </c>
      <c r="E44" s="36">
        <f>585.47</f>
        <v>585.47</v>
      </c>
      <c r="F44" s="38"/>
      <c r="G44" s="7">
        <f t="shared" si="4"/>
        <v>0</v>
      </c>
      <c r="H44" s="8">
        <f t="shared" si="5"/>
        <v>0</v>
      </c>
      <c r="J44" s="56">
        <v>0</v>
      </c>
      <c r="K44" s="56">
        <v>0</v>
      </c>
      <c r="M44" s="15">
        <f t="shared" si="6"/>
        <v>0</v>
      </c>
      <c r="O44" s="62">
        <f t="shared" si="7"/>
        <v>0</v>
      </c>
    </row>
    <row r="45" spans="2:15" ht="18" customHeight="1" thickTop="1" thickBot="1" x14ac:dyDescent="0.3">
      <c r="B45" s="1" t="s">
        <v>31</v>
      </c>
      <c r="C45" s="3" t="s">
        <v>4</v>
      </c>
      <c r="E45" s="36">
        <f>836.8</f>
        <v>836.8</v>
      </c>
      <c r="F45" s="38"/>
      <c r="G45" s="7">
        <f t="shared" si="4"/>
        <v>0</v>
      </c>
      <c r="H45" s="8">
        <f t="shared" si="5"/>
        <v>0</v>
      </c>
      <c r="J45" s="56">
        <v>0</v>
      </c>
      <c r="K45" s="56">
        <v>0</v>
      </c>
      <c r="M45" s="15">
        <f t="shared" si="6"/>
        <v>0</v>
      </c>
      <c r="O45" s="62">
        <f t="shared" si="7"/>
        <v>0</v>
      </c>
    </row>
    <row r="46" spans="2:15" ht="18" customHeight="1" thickTop="1" thickBot="1" x14ac:dyDescent="0.3">
      <c r="B46" s="1" t="s">
        <v>32</v>
      </c>
      <c r="C46" s="3" t="s">
        <v>4</v>
      </c>
      <c r="E46" s="36">
        <f>938.87</f>
        <v>938.87</v>
      </c>
      <c r="F46" s="38"/>
      <c r="G46" s="7">
        <f t="shared" si="4"/>
        <v>0</v>
      </c>
      <c r="H46" s="8">
        <f t="shared" si="5"/>
        <v>0</v>
      </c>
      <c r="J46" s="56">
        <v>0</v>
      </c>
      <c r="K46" s="56">
        <v>0</v>
      </c>
      <c r="M46" s="15">
        <f t="shared" si="6"/>
        <v>0</v>
      </c>
      <c r="O46" s="62">
        <f>K46</f>
        <v>0</v>
      </c>
    </row>
    <row r="47" spans="2:15" ht="30" customHeight="1" thickTop="1" x14ac:dyDescent="0.25"/>
    <row r="48" spans="2:15" ht="27.95" customHeight="1" x14ac:dyDescent="0.25">
      <c r="B48" s="24" t="s">
        <v>78</v>
      </c>
      <c r="H48" s="2" t="s">
        <v>76</v>
      </c>
      <c r="M48" s="20" t="s">
        <v>42</v>
      </c>
    </row>
    <row r="49" spans="2:15" ht="18" customHeight="1" x14ac:dyDescent="0.25">
      <c r="B49" s="1" t="s">
        <v>77</v>
      </c>
      <c r="H49" s="39">
        <v>-7429</v>
      </c>
      <c r="M49" s="40">
        <f>H49/$G$3*$G$4</f>
        <v>0</v>
      </c>
    </row>
    <row r="50" spans="2:15" ht="30" customHeight="1" x14ac:dyDescent="0.25"/>
    <row r="51" spans="2:15" ht="27.95" customHeight="1" x14ac:dyDescent="0.25">
      <c r="M51" s="31">
        <f>SUM(M12,M18,M25,M26,M31,M32,M33,M34,M35,M41,M42,M43,M44,M45,M46,M49)</f>
        <v>0</v>
      </c>
      <c r="O51" s="64">
        <f>SUM(O12,O18,O25,O26,O31,O32,O33,O34,O35,O41,O42,O43,O44,O45,O46)</f>
        <v>0</v>
      </c>
    </row>
    <row r="53" spans="2:15" ht="27.95" customHeight="1" x14ac:dyDescent="0.25">
      <c r="H53" s="66" t="s">
        <v>111</v>
      </c>
      <c r="J53" s="30"/>
      <c r="M53" s="67">
        <f>+M51-O51</f>
        <v>0</v>
      </c>
    </row>
  </sheetData>
  <sheetProtection algorithmName="SHA-512" hashValue="vyGiyCUX/XEIr0PNYs/vvkjyQpuaFRs60xibsaz1DP/KjyYN9wG8zxatC6l+4O1r4Cy8yeb6Gjsmvt4UXt1ADQ==" saltValue="MCCp5UaYwt20MDLogM6Efg==" spinCount="100000" sheet="1" objects="1" scenarios="1"/>
  <mergeCells count="24">
    <mergeCell ref="C35:E35"/>
    <mergeCell ref="C26:F26"/>
    <mergeCell ref="C30:E30"/>
    <mergeCell ref="C31:E31"/>
    <mergeCell ref="C32:E32"/>
    <mergeCell ref="C33:E33"/>
    <mergeCell ref="C34:E34"/>
    <mergeCell ref="E25:F25"/>
    <mergeCell ref="E4:F4"/>
    <mergeCell ref="C7:F7"/>
    <mergeCell ref="C8:F8"/>
    <mergeCell ref="C9:F9"/>
    <mergeCell ref="C10:F10"/>
    <mergeCell ref="C11:F11"/>
    <mergeCell ref="B12:F12"/>
    <mergeCell ref="C17:F17"/>
    <mergeCell ref="C18:F18"/>
    <mergeCell ref="C23:F23"/>
    <mergeCell ref="C24:F24"/>
    <mergeCell ref="J6:K6"/>
    <mergeCell ref="J16:K16"/>
    <mergeCell ref="J22:K22"/>
    <mergeCell ref="J29:K29"/>
    <mergeCell ref="J39:K39"/>
  </mergeCell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Préambule</vt:lpstr>
      <vt:lpstr>Ravalement simple</vt:lpstr>
      <vt:lpstr>ITE + Tout Enduit</vt:lpstr>
      <vt:lpstr>ITE + Mixte Enduit - Bardage</vt:lpstr>
      <vt:lpstr>ITE + Tout Bardage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Philippe MARIANI</dc:creator>
  <cp:lastModifiedBy>Philippe MARIANI</cp:lastModifiedBy>
  <cp:lastPrinted>2024-05-06T12:39:50Z</cp:lastPrinted>
  <dcterms:created xsi:type="dcterms:W3CDTF">2024-04-18T14:12:37Z</dcterms:created>
  <dcterms:modified xsi:type="dcterms:W3CDTF">2024-07-02T08:43:14Z</dcterms:modified>
</cp:coreProperties>
</file>